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544BD351-0813-4909-B6BA-4E01BABFE41D}"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Tax Reval Rate" sheetId="72" state="hidden" r:id="rId10"/>
    <sheet name="2020 Data(H)" sheetId="74" state="hidden" r:id="rId11"/>
    <sheet name="2019 Data(H)" sheetId="4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10">'2020 Data(H)'!$B$297:$E$320</definedName>
    <definedName name="_xlnm.Print_Area" localSheetId="0">Instructions!$B$1:$B$50</definedName>
    <definedName name="_xlnm.Print_Area" localSheetId="4">'Performance  Indicators Print'!$A$1:$H$51</definedName>
    <definedName name="_xlnm.Print_Area" localSheetId="5">'PI series #'!$A$1:$I$48</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F364" i="74"/>
  <c r="G364" i="74"/>
  <c r="H364" i="74"/>
  <c r="I364" i="74"/>
  <c r="J364" i="74"/>
  <c r="K364" i="74"/>
  <c r="L364" i="74"/>
  <c r="M364" i="74"/>
  <c r="N364" i="74"/>
  <c r="O364" i="74"/>
  <c r="P364" i="74"/>
  <c r="Q364" i="74"/>
  <c r="R364" i="74"/>
  <c r="S364" i="74"/>
  <c r="T364" i="74"/>
  <c r="U364" i="74"/>
  <c r="V364" i="74"/>
  <c r="W364" i="74"/>
  <c r="X364" i="74"/>
  <c r="Y364" i="74"/>
  <c r="Z364" i="74"/>
  <c r="AA364" i="74"/>
  <c r="AB364" i="74"/>
  <c r="AC364" i="74"/>
  <c r="AD364" i="74"/>
  <c r="AE364" i="74"/>
  <c r="AF364" i="74"/>
  <c r="AG364" i="74"/>
  <c r="AH364" i="74"/>
  <c r="AI364" i="74"/>
  <c r="AJ364" i="74"/>
  <c r="AK364" i="74"/>
  <c r="AL364" i="74"/>
  <c r="AM364" i="74"/>
  <c r="AN364" i="74"/>
  <c r="AO364" i="74"/>
  <c r="AP364" i="74"/>
  <c r="AQ364" i="74"/>
  <c r="AR364" i="74"/>
  <c r="AS364" i="74"/>
  <c r="AT364" i="74"/>
  <c r="AU364" i="74"/>
  <c r="AV364" i="74"/>
  <c r="AW364" i="74"/>
  <c r="AX364" i="74"/>
  <c r="AY364" i="74"/>
  <c r="AZ364" i="74"/>
  <c r="BA364" i="74"/>
  <c r="BB364" i="74"/>
  <c r="BC364" i="74"/>
  <c r="BD364" i="74"/>
  <c r="BE364" i="74"/>
  <c r="BF364" i="74"/>
  <c r="BG364" i="74"/>
  <c r="BH364" i="74"/>
  <c r="BI364" i="74"/>
  <c r="BJ364" i="74"/>
  <c r="BK364" i="74"/>
  <c r="BL364" i="74"/>
  <c r="BM364" i="74"/>
  <c r="BN364" i="74"/>
  <c r="BO364" i="74"/>
  <c r="BP364" i="74"/>
  <c r="BQ364" i="74"/>
  <c r="BR364" i="74"/>
  <c r="BS364" i="74"/>
  <c r="BT364" i="74"/>
  <c r="BU364" i="74"/>
  <c r="BV364" i="74"/>
  <c r="BW364" i="74"/>
  <c r="BX364" i="74"/>
  <c r="BY364" i="74"/>
  <c r="BZ364" i="74"/>
  <c r="CA364" i="74"/>
  <c r="CB364" i="74"/>
  <c r="E364" i="74"/>
  <c r="F363" i="74"/>
  <c r="G363" i="74"/>
  <c r="H363" i="74"/>
  <c r="I363" i="74"/>
  <c r="J363" i="74"/>
  <c r="K363" i="74"/>
  <c r="L363" i="74"/>
  <c r="M363" i="74"/>
  <c r="N363" i="74"/>
  <c r="O363" i="74"/>
  <c r="P363" i="74"/>
  <c r="Q363" i="74"/>
  <c r="R363" i="74"/>
  <c r="S363" i="74"/>
  <c r="T363" i="74"/>
  <c r="U363" i="74"/>
  <c r="V363" i="74"/>
  <c r="W363" i="74"/>
  <c r="X363" i="74"/>
  <c r="Y363" i="74"/>
  <c r="Z363" i="74"/>
  <c r="AA363" i="74"/>
  <c r="AB363" i="74"/>
  <c r="AC363" i="74"/>
  <c r="AD363" i="74"/>
  <c r="AE363" i="74"/>
  <c r="AF363" i="74"/>
  <c r="AG363" i="74"/>
  <c r="AH363" i="74"/>
  <c r="AI363" i="74"/>
  <c r="AJ363" i="74"/>
  <c r="AK363" i="74"/>
  <c r="AL363" i="74"/>
  <c r="AM363" i="74"/>
  <c r="AN363" i="74"/>
  <c r="AO363" i="74"/>
  <c r="AP363" i="74"/>
  <c r="AQ363" i="74"/>
  <c r="AR363" i="74"/>
  <c r="AS363" i="74"/>
  <c r="AT363" i="74"/>
  <c r="AU363" i="74"/>
  <c r="AV363" i="74"/>
  <c r="AW363" i="74"/>
  <c r="AX363" i="74"/>
  <c r="AY363" i="74"/>
  <c r="AZ363" i="74"/>
  <c r="BA363" i="74"/>
  <c r="BB363" i="74"/>
  <c r="BC363" i="74"/>
  <c r="BD363" i="74"/>
  <c r="BE363" i="74"/>
  <c r="BF363" i="74"/>
  <c r="BG363" i="74"/>
  <c r="BH363" i="74"/>
  <c r="BI363" i="74"/>
  <c r="BJ363" i="74"/>
  <c r="BK363" i="74"/>
  <c r="BL363" i="74"/>
  <c r="BM363" i="74"/>
  <c r="BN363" i="74"/>
  <c r="BO363" i="74"/>
  <c r="BP363" i="74"/>
  <c r="BQ363" i="74"/>
  <c r="BR363" i="74"/>
  <c r="BS363" i="74"/>
  <c r="BT363" i="74"/>
  <c r="BU363" i="74"/>
  <c r="BV363" i="74"/>
  <c r="BW363" i="74"/>
  <c r="BX363" i="74"/>
  <c r="BY363" i="74"/>
  <c r="BZ363" i="74"/>
  <c r="CA363" i="74"/>
  <c r="CB363" i="74"/>
  <c r="E363" i="74"/>
  <c r="E85" i="53"/>
  <c r="E83" i="53"/>
  <c r="E81" i="53"/>
  <c r="F66" i="53"/>
  <c r="F64" i="53"/>
  <c r="F62" i="53"/>
  <c r="E251" i="28"/>
  <c r="E250" i="28"/>
  <c r="F409" i="74" l="1"/>
  <c r="F412" i="74" s="1"/>
  <c r="G409" i="74"/>
  <c r="G412" i="74" s="1"/>
  <c r="H409" i="74"/>
  <c r="I409" i="74"/>
  <c r="J409" i="74"/>
  <c r="J412" i="74" s="1"/>
  <c r="K409" i="74"/>
  <c r="K412" i="74" s="1"/>
  <c r="L409" i="74"/>
  <c r="M409" i="74"/>
  <c r="N409" i="74"/>
  <c r="N412" i="74" s="1"/>
  <c r="O409" i="74"/>
  <c r="O412" i="74" s="1"/>
  <c r="P409" i="74"/>
  <c r="Q409" i="74"/>
  <c r="R409" i="74"/>
  <c r="R412" i="74" s="1"/>
  <c r="S409" i="74"/>
  <c r="S412" i="74" s="1"/>
  <c r="T409" i="74"/>
  <c r="U409" i="74"/>
  <c r="V409" i="74"/>
  <c r="V412" i="74" s="1"/>
  <c r="W409" i="74"/>
  <c r="W412" i="74" s="1"/>
  <c r="X409" i="74"/>
  <c r="Y409" i="74"/>
  <c r="Z409" i="74"/>
  <c r="Z412" i="74" s="1"/>
  <c r="AA409" i="74"/>
  <c r="AA412" i="74" s="1"/>
  <c r="AB409" i="74"/>
  <c r="AC409" i="74"/>
  <c r="AD409" i="74"/>
  <c r="AD412" i="74" s="1"/>
  <c r="AE409" i="74"/>
  <c r="AE412" i="74" s="1"/>
  <c r="AF409" i="74"/>
  <c r="AG409" i="74"/>
  <c r="AH409" i="74"/>
  <c r="AH412" i="74" s="1"/>
  <c r="AI409" i="74"/>
  <c r="AI412" i="74" s="1"/>
  <c r="AJ409" i="74"/>
  <c r="AK409" i="74"/>
  <c r="AL409" i="74"/>
  <c r="AL412" i="74" s="1"/>
  <c r="AM409" i="74"/>
  <c r="AM412" i="74" s="1"/>
  <c r="AN409" i="74"/>
  <c r="AO409" i="74"/>
  <c r="AP409" i="74"/>
  <c r="AP412" i="74" s="1"/>
  <c r="AQ409" i="74"/>
  <c r="AQ412" i="74" s="1"/>
  <c r="AR409" i="74"/>
  <c r="AS409" i="74"/>
  <c r="AT409" i="74"/>
  <c r="AT412" i="74" s="1"/>
  <c r="AU409" i="74"/>
  <c r="AU412" i="74" s="1"/>
  <c r="AV409" i="74"/>
  <c r="AW409" i="74"/>
  <c r="AX409" i="74"/>
  <c r="AX412" i="74" s="1"/>
  <c r="AY409" i="74"/>
  <c r="AY412" i="74" s="1"/>
  <c r="AZ409" i="74"/>
  <c r="BA409" i="74"/>
  <c r="BB409" i="74"/>
  <c r="BB412" i="74" s="1"/>
  <c r="BC409" i="74"/>
  <c r="BC412" i="74" s="1"/>
  <c r="BD409" i="74"/>
  <c r="BE409" i="74"/>
  <c r="BF409" i="74"/>
  <c r="BF412" i="74" s="1"/>
  <c r="BG409" i="74"/>
  <c r="BG412" i="74" s="1"/>
  <c r="BH409" i="74"/>
  <c r="BI409" i="74"/>
  <c r="BJ409" i="74"/>
  <c r="BJ412" i="74" s="1"/>
  <c r="BK409" i="74"/>
  <c r="BK412" i="74" s="1"/>
  <c r="BL409" i="74"/>
  <c r="BM409" i="74"/>
  <c r="BN409" i="74"/>
  <c r="BN412" i="74" s="1"/>
  <c r="BO409" i="74"/>
  <c r="BO412" i="74" s="1"/>
  <c r="BP409" i="74"/>
  <c r="BQ409" i="74"/>
  <c r="BR409" i="74"/>
  <c r="BR412" i="74" s="1"/>
  <c r="BS409" i="74"/>
  <c r="BS412" i="74" s="1"/>
  <c r="BT409" i="74"/>
  <c r="BU409" i="74"/>
  <c r="BV409" i="74"/>
  <c r="BV412" i="74" s="1"/>
  <c r="BW409" i="74"/>
  <c r="BW412" i="74" s="1"/>
  <c r="BX409" i="74"/>
  <c r="BY409" i="74"/>
  <c r="BZ409" i="74"/>
  <c r="BZ412" i="74" s="1"/>
  <c r="CA409" i="74"/>
  <c r="CA412" i="74" s="1"/>
  <c r="CB409" i="74"/>
  <c r="F410" i="74"/>
  <c r="G410" i="74"/>
  <c r="H410" i="74"/>
  <c r="H412" i="74" s="1"/>
  <c r="I410" i="74"/>
  <c r="J410" i="74"/>
  <c r="K410" i="74"/>
  <c r="L410" i="74"/>
  <c r="L412" i="74" s="1"/>
  <c r="M410" i="74"/>
  <c r="N410" i="74"/>
  <c r="O410" i="74"/>
  <c r="P410" i="74"/>
  <c r="P412" i="74" s="1"/>
  <c r="Q410" i="74"/>
  <c r="R410" i="74"/>
  <c r="S410" i="74"/>
  <c r="T410" i="74"/>
  <c r="T412" i="74" s="1"/>
  <c r="U410" i="74"/>
  <c r="V410" i="74"/>
  <c r="W410" i="74"/>
  <c r="X410" i="74"/>
  <c r="X412" i="74" s="1"/>
  <c r="Y410" i="74"/>
  <c r="Z410" i="74"/>
  <c r="AA410" i="74"/>
  <c r="AB410" i="74"/>
  <c r="AB412" i="74" s="1"/>
  <c r="AC410" i="74"/>
  <c r="AD410" i="74"/>
  <c r="AE410" i="74"/>
  <c r="AF410" i="74"/>
  <c r="AF412" i="74" s="1"/>
  <c r="AG410" i="74"/>
  <c r="AH410" i="74"/>
  <c r="AI410" i="74"/>
  <c r="AJ410" i="74"/>
  <c r="AJ412" i="74" s="1"/>
  <c r="AK410" i="74"/>
  <c r="AL410" i="74"/>
  <c r="AM410" i="74"/>
  <c r="AN410" i="74"/>
  <c r="AN412" i="74" s="1"/>
  <c r="AO410" i="74"/>
  <c r="AP410" i="74"/>
  <c r="AQ410" i="74"/>
  <c r="AR410" i="74"/>
  <c r="AR412" i="74" s="1"/>
  <c r="AS410" i="74"/>
  <c r="AT410" i="74"/>
  <c r="AU410" i="74"/>
  <c r="AV410" i="74"/>
  <c r="AV412" i="74" s="1"/>
  <c r="AW410" i="74"/>
  <c r="AX410" i="74"/>
  <c r="AY410" i="74"/>
  <c r="AZ410" i="74"/>
  <c r="AZ412" i="74" s="1"/>
  <c r="BA410" i="74"/>
  <c r="BB410" i="74"/>
  <c r="BC410" i="74"/>
  <c r="BD410" i="74"/>
  <c r="BD412" i="74" s="1"/>
  <c r="BE410" i="74"/>
  <c r="BF410" i="74"/>
  <c r="BG410" i="74"/>
  <c r="BH410" i="74"/>
  <c r="BH412" i="74" s="1"/>
  <c r="BI410" i="74"/>
  <c r="BJ410" i="74"/>
  <c r="BK410" i="74"/>
  <c r="BL410" i="74"/>
  <c r="BL412" i="74" s="1"/>
  <c r="BM410" i="74"/>
  <c r="BN410" i="74"/>
  <c r="BO410" i="74"/>
  <c r="BP410" i="74"/>
  <c r="BP412" i="74" s="1"/>
  <c r="BQ410" i="74"/>
  <c r="BR410" i="74"/>
  <c r="BS410" i="74"/>
  <c r="BT410" i="74"/>
  <c r="BT412" i="74" s="1"/>
  <c r="BU410" i="74"/>
  <c r="BV410" i="74"/>
  <c r="BW410" i="74"/>
  <c r="BX410" i="74"/>
  <c r="BX412" i="74" s="1"/>
  <c r="BY410" i="74"/>
  <c r="BZ410" i="74"/>
  <c r="CA410" i="74"/>
  <c r="CB410" i="74"/>
  <c r="CB412" i="74" s="1"/>
  <c r="I412" i="74"/>
  <c r="M412" i="74"/>
  <c r="Q412" i="74"/>
  <c r="U412" i="74"/>
  <c r="Y412" i="74"/>
  <c r="AC412" i="74"/>
  <c r="AG412" i="74"/>
  <c r="AK412" i="74"/>
  <c r="AO412" i="74"/>
  <c r="AS412" i="74"/>
  <c r="AW412" i="74"/>
  <c r="BA412" i="74"/>
  <c r="BE412" i="74"/>
  <c r="BI412" i="74"/>
  <c r="BM412" i="74"/>
  <c r="BQ412" i="74"/>
  <c r="BU412" i="74"/>
  <c r="BY412" i="74"/>
  <c r="E412" i="74"/>
  <c r="E410" i="74"/>
  <c r="E409" i="74"/>
  <c r="C8" i="28"/>
  <c r="E257" i="28"/>
  <c r="D43" i="80"/>
  <c r="D35" i="80"/>
  <c r="D18" i="80" l="1"/>
  <c r="F21" i="80"/>
  <c r="D6" i="73"/>
  <c r="F9" i="80" s="1"/>
  <c r="E260" i="28" l="1"/>
  <c r="E259" i="28"/>
  <c r="E258" i="28"/>
  <c r="E256"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T2" i="29"/>
  <c r="U2" i="29"/>
  <c r="P2" i="29"/>
  <c r="O2" i="29"/>
  <c r="E97" i="1" l="1"/>
  <c r="E96" i="1"/>
  <c r="E95" i="1"/>
  <c r="E94" i="1"/>
  <c r="E93" i="1"/>
  <c r="E92" i="1"/>
  <c r="E91" i="1"/>
  <c r="E90" i="1"/>
  <c r="E100" i="1"/>
  <c r="F405" i="74" l="1"/>
  <c r="F407" i="74" s="1"/>
  <c r="G405" i="74"/>
  <c r="H405" i="74"/>
  <c r="I405" i="74"/>
  <c r="I407" i="74" s="1"/>
  <c r="J405" i="74"/>
  <c r="K405" i="74"/>
  <c r="L405" i="74"/>
  <c r="M405" i="74"/>
  <c r="M407" i="74" s="1"/>
  <c r="N405" i="74"/>
  <c r="N407" i="74" s="1"/>
  <c r="O405" i="74"/>
  <c r="P405" i="74"/>
  <c r="Q405" i="74"/>
  <c r="Q407" i="74" s="1"/>
  <c r="R405" i="74"/>
  <c r="S405" i="74"/>
  <c r="T405" i="74"/>
  <c r="U405" i="74"/>
  <c r="U407" i="74" s="1"/>
  <c r="V405" i="74"/>
  <c r="V407" i="74" s="1"/>
  <c r="W405" i="74"/>
  <c r="X405" i="74"/>
  <c r="Y405" i="74"/>
  <c r="Y407" i="74" s="1"/>
  <c r="Z405" i="74"/>
  <c r="AA405" i="74"/>
  <c r="AB405" i="74"/>
  <c r="AC405" i="74"/>
  <c r="AC407" i="74" s="1"/>
  <c r="AD405" i="74"/>
  <c r="AD407" i="74" s="1"/>
  <c r="AE405" i="74"/>
  <c r="AF405" i="74"/>
  <c r="AG405" i="74"/>
  <c r="AG407" i="74" s="1"/>
  <c r="AH405" i="74"/>
  <c r="AI405" i="74"/>
  <c r="AJ405" i="74"/>
  <c r="AK405" i="74"/>
  <c r="AK407" i="74" s="1"/>
  <c r="AL405" i="74"/>
  <c r="AL407" i="74" s="1"/>
  <c r="AM405" i="74"/>
  <c r="AN405" i="74"/>
  <c r="AO405" i="74"/>
  <c r="AO407" i="74" s="1"/>
  <c r="AP405" i="74"/>
  <c r="AQ405" i="74"/>
  <c r="AR405" i="74"/>
  <c r="AS405" i="74"/>
  <c r="AS407" i="74" s="1"/>
  <c r="AT405" i="74"/>
  <c r="AT407" i="74" s="1"/>
  <c r="AU405" i="74"/>
  <c r="AV405" i="74"/>
  <c r="AW405" i="74"/>
  <c r="AW407" i="74" s="1"/>
  <c r="AX405" i="74"/>
  <c r="AY405" i="74"/>
  <c r="AZ405" i="74"/>
  <c r="BA405" i="74"/>
  <c r="BA407" i="74" s="1"/>
  <c r="BB405" i="74"/>
  <c r="BB407" i="74" s="1"/>
  <c r="BC405" i="74"/>
  <c r="BD405" i="74"/>
  <c r="BE405" i="74"/>
  <c r="BE407" i="74" s="1"/>
  <c r="BF405" i="74"/>
  <c r="BG405" i="74"/>
  <c r="BH405" i="74"/>
  <c r="BI405" i="74"/>
  <c r="BI407" i="74" s="1"/>
  <c r="BJ405" i="74"/>
  <c r="BJ407" i="74" s="1"/>
  <c r="BK405" i="74"/>
  <c r="BL405" i="74"/>
  <c r="BM405" i="74"/>
  <c r="BM407" i="74" s="1"/>
  <c r="BN405" i="74"/>
  <c r="BO405" i="74"/>
  <c r="BP405" i="74"/>
  <c r="BQ405" i="74"/>
  <c r="BQ407" i="74" s="1"/>
  <c r="BR405" i="74"/>
  <c r="BR407" i="74" s="1"/>
  <c r="BS405" i="74"/>
  <c r="BT405" i="74"/>
  <c r="BU405" i="74"/>
  <c r="BU407" i="74" s="1"/>
  <c r="BV405" i="74"/>
  <c r="BW405" i="74"/>
  <c r="BX405" i="74"/>
  <c r="BY405" i="74"/>
  <c r="BY407" i="74" s="1"/>
  <c r="BZ405" i="74"/>
  <c r="BZ407" i="74" s="1"/>
  <c r="CA405" i="74"/>
  <c r="CB405" i="74"/>
  <c r="G407" i="74"/>
  <c r="H407" i="74"/>
  <c r="J407" i="74"/>
  <c r="K407" i="74"/>
  <c r="L407" i="74"/>
  <c r="O407" i="74"/>
  <c r="P407" i="74"/>
  <c r="R407" i="74"/>
  <c r="S407" i="74"/>
  <c r="T407" i="74"/>
  <c r="W407" i="74"/>
  <c r="X407" i="74"/>
  <c r="Z407" i="74"/>
  <c r="AA407" i="74"/>
  <c r="AB407" i="74"/>
  <c r="AE407" i="74"/>
  <c r="AF407" i="74"/>
  <c r="AH407" i="74"/>
  <c r="AI407" i="74"/>
  <c r="AJ407" i="74"/>
  <c r="AM407" i="74"/>
  <c r="AN407" i="74"/>
  <c r="AP407" i="74"/>
  <c r="AQ407" i="74"/>
  <c r="AR407" i="74"/>
  <c r="AU407" i="74"/>
  <c r="AV407" i="74"/>
  <c r="AX407" i="74"/>
  <c r="AY407" i="74"/>
  <c r="AZ407" i="74"/>
  <c r="BC407" i="74"/>
  <c r="BD407" i="74"/>
  <c r="BF407" i="74"/>
  <c r="BG407" i="74"/>
  <c r="BH407" i="74"/>
  <c r="BK407" i="74"/>
  <c r="BL407" i="74"/>
  <c r="BN407" i="74"/>
  <c r="BO407" i="74"/>
  <c r="BP407" i="74"/>
  <c r="BS407" i="74"/>
  <c r="BT407" i="74"/>
  <c r="BV407" i="74"/>
  <c r="BW407" i="74"/>
  <c r="BX407" i="74"/>
  <c r="CA407" i="74"/>
  <c r="CB407" i="74"/>
  <c r="E407" i="74"/>
  <c r="E405" i="74"/>
  <c r="F298" i="42" l="1"/>
  <c r="G298" i="42"/>
  <c r="H298" i="42"/>
  <c r="I298" i="42"/>
  <c r="J298" i="42"/>
  <c r="K298" i="42"/>
  <c r="L298" i="42"/>
  <c r="M298" i="42"/>
  <c r="M299" i="42" s="1"/>
  <c r="N298" i="42"/>
  <c r="O298" i="42"/>
  <c r="P298" i="42"/>
  <c r="Q298" i="42"/>
  <c r="R298" i="42"/>
  <c r="S298" i="42"/>
  <c r="T298" i="42"/>
  <c r="U298" i="42"/>
  <c r="U299" i="42" s="1"/>
  <c r="V298" i="42"/>
  <c r="W298" i="42"/>
  <c r="X298" i="42"/>
  <c r="Y298" i="42"/>
  <c r="Z298" i="42"/>
  <c r="AA298" i="42"/>
  <c r="AB298" i="42"/>
  <c r="AC298" i="42"/>
  <c r="AC299" i="42" s="1"/>
  <c r="AD298" i="42"/>
  <c r="AE298" i="42"/>
  <c r="AF298" i="42"/>
  <c r="AG298" i="42"/>
  <c r="AH298" i="42"/>
  <c r="AI298" i="42"/>
  <c r="AJ298" i="42"/>
  <c r="AK298" i="42"/>
  <c r="AK299" i="42" s="1"/>
  <c r="AL298" i="42"/>
  <c r="AM298" i="42"/>
  <c r="AN298" i="42"/>
  <c r="AO298" i="42"/>
  <c r="AP298" i="42"/>
  <c r="AQ298" i="42"/>
  <c r="AR298" i="42"/>
  <c r="AS298" i="42"/>
  <c r="AS299" i="42" s="1"/>
  <c r="AT298" i="42"/>
  <c r="AU298" i="42"/>
  <c r="AV298" i="42"/>
  <c r="AW298" i="42"/>
  <c r="AX298" i="42"/>
  <c r="AY298" i="42"/>
  <c r="AZ298" i="42"/>
  <c r="BA298" i="42"/>
  <c r="BA299" i="42" s="1"/>
  <c r="BB298" i="42"/>
  <c r="BC298" i="42"/>
  <c r="BD298" i="42"/>
  <c r="BE298" i="42"/>
  <c r="BF298" i="42"/>
  <c r="BG298" i="42"/>
  <c r="BH298" i="42"/>
  <c r="BI298" i="42"/>
  <c r="BI299" i="42" s="1"/>
  <c r="BJ298" i="42"/>
  <c r="BK298" i="42"/>
  <c r="BL298" i="42"/>
  <c r="BM298" i="42"/>
  <c r="BN298" i="42"/>
  <c r="BO298" i="42"/>
  <c r="BP298" i="42"/>
  <c r="BQ298" i="42"/>
  <c r="BQ299" i="42" s="1"/>
  <c r="BR298" i="42"/>
  <c r="BS298" i="42"/>
  <c r="BT298" i="42"/>
  <c r="BU298" i="42"/>
  <c r="BV298" i="42"/>
  <c r="BW298" i="42"/>
  <c r="BX298" i="42"/>
  <c r="BY298" i="42"/>
  <c r="BY299" i="42" s="1"/>
  <c r="BZ298" i="42"/>
  <c r="CA298" i="42"/>
  <c r="CB298" i="42"/>
  <c r="F299" i="42"/>
  <c r="G299" i="42"/>
  <c r="H299" i="42"/>
  <c r="I299" i="42"/>
  <c r="J299" i="42"/>
  <c r="K299" i="42"/>
  <c r="L299" i="42"/>
  <c r="N299" i="42"/>
  <c r="O299" i="42"/>
  <c r="P299" i="42"/>
  <c r="Q299" i="42"/>
  <c r="R299" i="42"/>
  <c r="S299" i="42"/>
  <c r="T299" i="42"/>
  <c r="V299" i="42"/>
  <c r="W299" i="42"/>
  <c r="X299" i="42"/>
  <c r="Y299" i="42"/>
  <c r="Z299" i="42"/>
  <c r="AA299" i="42"/>
  <c r="AB299" i="42"/>
  <c r="AD299" i="42"/>
  <c r="AE299" i="42"/>
  <c r="AF299" i="42"/>
  <c r="AG299" i="42"/>
  <c r="AH299" i="42"/>
  <c r="AI299" i="42"/>
  <c r="AJ299" i="42"/>
  <c r="AL299" i="42"/>
  <c r="AM299" i="42"/>
  <c r="AN299" i="42"/>
  <c r="AO299" i="42"/>
  <c r="AP299" i="42"/>
  <c r="AQ299" i="42"/>
  <c r="AR299" i="42"/>
  <c r="AT299" i="42"/>
  <c r="AU299" i="42"/>
  <c r="AV299" i="42"/>
  <c r="AW299" i="42"/>
  <c r="AX299" i="42"/>
  <c r="AY299" i="42"/>
  <c r="AZ299" i="42"/>
  <c r="BB299" i="42"/>
  <c r="BC299" i="42"/>
  <c r="BD299" i="42"/>
  <c r="BE299" i="42"/>
  <c r="BF299" i="42"/>
  <c r="BG299" i="42"/>
  <c r="BH299" i="42"/>
  <c r="BJ299" i="42"/>
  <c r="BK299" i="42"/>
  <c r="BL299" i="42"/>
  <c r="BM299" i="42"/>
  <c r="BN299" i="42"/>
  <c r="BO299" i="42"/>
  <c r="BP299" i="42"/>
  <c r="BR299" i="42"/>
  <c r="BS299" i="42"/>
  <c r="BT299" i="42"/>
  <c r="BU299" i="42"/>
  <c r="BV299" i="42"/>
  <c r="BW299" i="42"/>
  <c r="BX299" i="42"/>
  <c r="BZ299" i="42"/>
  <c r="CA299" i="42"/>
  <c r="CB299"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X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BT300" i="42"/>
  <c r="BU300" i="42"/>
  <c r="BV300" i="42"/>
  <c r="BW300" i="42"/>
  <c r="BX300" i="42"/>
  <c r="BY300" i="42"/>
  <c r="BZ300" i="42"/>
  <c r="CA300" i="42"/>
  <c r="CB300"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BT301" i="42"/>
  <c r="BU301" i="42"/>
  <c r="BV301" i="42"/>
  <c r="BW301" i="42"/>
  <c r="BX301" i="42"/>
  <c r="BY301" i="42"/>
  <c r="BZ301" i="42"/>
  <c r="CA301" i="42"/>
  <c r="CB301" i="42"/>
  <c r="F302" i="42"/>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BT302" i="42"/>
  <c r="BU302" i="42"/>
  <c r="BV302" i="42"/>
  <c r="BW302" i="42"/>
  <c r="BX302" i="42"/>
  <c r="BY302" i="42"/>
  <c r="BZ302" i="42"/>
  <c r="CA302" i="42"/>
  <c r="CB302"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BT303" i="42"/>
  <c r="BU303" i="42"/>
  <c r="BV303" i="42"/>
  <c r="BW303" i="42"/>
  <c r="BX303" i="42"/>
  <c r="BY303" i="42"/>
  <c r="BZ303" i="42"/>
  <c r="CA303" i="42"/>
  <c r="CB303" i="42"/>
  <c r="F304" i="42"/>
  <c r="G304" i="42"/>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BT304" i="42"/>
  <c r="BU304" i="42"/>
  <c r="BV304" i="42"/>
  <c r="BW304" i="42"/>
  <c r="BX304" i="42"/>
  <c r="BY304" i="42"/>
  <c r="BZ304" i="42"/>
  <c r="CA304" i="42"/>
  <c r="CB304" i="42"/>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BT305" i="42"/>
  <c r="BU305" i="42"/>
  <c r="BV305" i="42"/>
  <c r="BW305" i="42"/>
  <c r="BX305" i="42"/>
  <c r="BY305" i="42"/>
  <c r="BZ305" i="42"/>
  <c r="CA305" i="42"/>
  <c r="CB305" i="42"/>
  <c r="E305" i="42"/>
  <c r="E304" i="42"/>
  <c r="E303" i="42"/>
  <c r="E302" i="42"/>
  <c r="E301" i="42"/>
  <c r="E300" i="42"/>
  <c r="E298" i="42"/>
  <c r="E299" i="42" s="1"/>
  <c r="A327" i="1" l="1"/>
  <c r="CB297" i="42" l="1"/>
  <c r="CA297" i="42"/>
  <c r="BZ297" i="42"/>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CB296" i="42"/>
  <c r="CA296"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CB295" i="42"/>
  <c r="CA295"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CB294" i="42"/>
  <c r="CA294"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CB293" i="42"/>
  <c r="CA293"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CB291" i="42"/>
  <c r="CA291"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CB290" i="42"/>
  <c r="CB292" i="42" s="1"/>
  <c r="CA290" i="42"/>
  <c r="CA292" i="42" s="1"/>
  <c r="BZ290" i="42"/>
  <c r="BZ292" i="42" s="1"/>
  <c r="BY290" i="42"/>
  <c r="BY292" i="42" s="1"/>
  <c r="BX290" i="42"/>
  <c r="BX292" i="42" s="1"/>
  <c r="BW290" i="42"/>
  <c r="BW292" i="42" s="1"/>
  <c r="BV290" i="42"/>
  <c r="BV292" i="42" s="1"/>
  <c r="BU290" i="42"/>
  <c r="BU292" i="42" s="1"/>
  <c r="BT290" i="42"/>
  <c r="BT292" i="42" s="1"/>
  <c r="BS290" i="42"/>
  <c r="BS292" i="42" s="1"/>
  <c r="BR290" i="42"/>
  <c r="BR292" i="42" s="1"/>
  <c r="BQ290" i="42"/>
  <c r="BQ292" i="42" s="1"/>
  <c r="BP290" i="42"/>
  <c r="BP292" i="42" s="1"/>
  <c r="BO290" i="42"/>
  <c r="BO292" i="42" s="1"/>
  <c r="BN290" i="42"/>
  <c r="BN292" i="42" s="1"/>
  <c r="BM290" i="42"/>
  <c r="BM292" i="42" s="1"/>
  <c r="BL290" i="42"/>
  <c r="BL292" i="42" s="1"/>
  <c r="BK290" i="42"/>
  <c r="BK292" i="42" s="1"/>
  <c r="BJ290" i="42"/>
  <c r="BJ292" i="42" s="1"/>
  <c r="BI290" i="42"/>
  <c r="BI292" i="42" s="1"/>
  <c r="BH290" i="42"/>
  <c r="BH292" i="42" s="1"/>
  <c r="BG290" i="42"/>
  <c r="BG292" i="42" s="1"/>
  <c r="BF290" i="42"/>
  <c r="BF292" i="42" s="1"/>
  <c r="BE290" i="42"/>
  <c r="BE292" i="42" s="1"/>
  <c r="BD290" i="42"/>
  <c r="BD292" i="42" s="1"/>
  <c r="BC290" i="42"/>
  <c r="BC292" i="42" s="1"/>
  <c r="BB290" i="42"/>
  <c r="BB292" i="42" s="1"/>
  <c r="BA290" i="42"/>
  <c r="BA292" i="42" s="1"/>
  <c r="AZ290" i="42"/>
  <c r="AZ292" i="42" s="1"/>
  <c r="AY290" i="42"/>
  <c r="AY292" i="42" s="1"/>
  <c r="AX290" i="42"/>
  <c r="AX292" i="42" s="1"/>
  <c r="AW290" i="42"/>
  <c r="AW292" i="42" s="1"/>
  <c r="AV290" i="42"/>
  <c r="AV292" i="42" s="1"/>
  <c r="AU290" i="42"/>
  <c r="AU292" i="42" s="1"/>
  <c r="AT290" i="42"/>
  <c r="AT292" i="42" s="1"/>
  <c r="AS290" i="42"/>
  <c r="AS292" i="42" s="1"/>
  <c r="AR290" i="42"/>
  <c r="AR292" i="42" s="1"/>
  <c r="AQ290" i="42"/>
  <c r="AQ292" i="42" s="1"/>
  <c r="AP290" i="42"/>
  <c r="AP292" i="42" s="1"/>
  <c r="AO290" i="42"/>
  <c r="AO292" i="42" s="1"/>
  <c r="AN290" i="42"/>
  <c r="AN292" i="42" s="1"/>
  <c r="AM290" i="42"/>
  <c r="AM292" i="42" s="1"/>
  <c r="AL290" i="42"/>
  <c r="AL292" i="42" s="1"/>
  <c r="AK290" i="42"/>
  <c r="AK292" i="42" s="1"/>
  <c r="AJ290" i="42"/>
  <c r="AJ292" i="42" s="1"/>
  <c r="AI290" i="42"/>
  <c r="AI292" i="42" s="1"/>
  <c r="AH290" i="42"/>
  <c r="AH292" i="42" s="1"/>
  <c r="AG290" i="42"/>
  <c r="AG292" i="42" s="1"/>
  <c r="AF290" i="42"/>
  <c r="AF292" i="42" s="1"/>
  <c r="AE290" i="42"/>
  <c r="AE292" i="42" s="1"/>
  <c r="AD290" i="42"/>
  <c r="AD292" i="42" s="1"/>
  <c r="AC290" i="42"/>
  <c r="AC292" i="42" s="1"/>
  <c r="AB290" i="42"/>
  <c r="AB292" i="42" s="1"/>
  <c r="AA290" i="42"/>
  <c r="AA292" i="42" s="1"/>
  <c r="Z290" i="42"/>
  <c r="Z292" i="42" s="1"/>
  <c r="Y290" i="42"/>
  <c r="Y292" i="42" s="1"/>
  <c r="X290" i="42"/>
  <c r="X292" i="42" s="1"/>
  <c r="W290" i="42"/>
  <c r="W292" i="42" s="1"/>
  <c r="V290" i="42"/>
  <c r="V292" i="42" s="1"/>
  <c r="U290" i="42"/>
  <c r="U292" i="42" s="1"/>
  <c r="T290" i="42"/>
  <c r="T292" i="42" s="1"/>
  <c r="S290" i="42"/>
  <c r="S292" i="42" s="1"/>
  <c r="R290" i="42"/>
  <c r="R292" i="42" s="1"/>
  <c r="Q290" i="42"/>
  <c r="Q292" i="42" s="1"/>
  <c r="P290" i="42"/>
  <c r="P292" i="42" s="1"/>
  <c r="O290" i="42"/>
  <c r="O292" i="42" s="1"/>
  <c r="N290" i="42"/>
  <c r="N292" i="42" s="1"/>
  <c r="M290" i="42"/>
  <c r="M292" i="42" s="1"/>
  <c r="L290" i="42"/>
  <c r="L292" i="42" s="1"/>
  <c r="K290" i="42"/>
  <c r="K292" i="42" s="1"/>
  <c r="J290" i="42"/>
  <c r="J292" i="42" s="1"/>
  <c r="I290" i="42"/>
  <c r="I292" i="42" s="1"/>
  <c r="H290" i="42"/>
  <c r="H292" i="42" s="1"/>
  <c r="G290" i="42"/>
  <c r="G292" i="42" s="1"/>
  <c r="F290" i="42"/>
  <c r="F292" i="42" s="1"/>
  <c r="E290" i="42"/>
  <c r="E292" i="42" s="1"/>
  <c r="D27" i="73" l="1"/>
  <c r="D29" i="73"/>
  <c r="D31" i="73"/>
  <c r="D33" i="73"/>
  <c r="D35" i="73"/>
  <c r="D37" i="73"/>
  <c r="D39" i="73"/>
  <c r="D41" i="73"/>
  <c r="D43" i="73"/>
  <c r="D45" i="73"/>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12" i="1" l="1"/>
  <c r="E9"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D16" i="80" s="1"/>
  <c r="F16"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B8" i="71" l="1"/>
  <c r="B12" i="71"/>
  <c r="W243" i="28"/>
  <c r="L253" i="28"/>
  <c r="C253" i="28"/>
  <c r="A253" i="28"/>
  <c r="F43" i="80" l="1"/>
  <c r="D40" i="73"/>
  <c r="F40" i="73" s="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246" i="28"/>
  <c r="E254" i="28"/>
  <c r="C247" i="28"/>
  <c r="C246" i="28"/>
  <c r="A258" i="28"/>
  <c r="A257" i="28"/>
  <c r="A256" i="28"/>
  <c r="A255" i="28"/>
  <c r="A260" i="28"/>
  <c r="A259" i="28"/>
  <c r="A254" i="28"/>
  <c r="A251" i="28"/>
  <c r="A250" i="28"/>
  <c r="A249" i="28"/>
  <c r="A248" i="28"/>
  <c r="A247" i="28"/>
  <c r="A246" i="28"/>
  <c r="D28" i="73" l="1"/>
  <c r="F28" i="73" s="1"/>
  <c r="K44" i="73"/>
  <c r="L47" i="80"/>
  <c r="D33" i="80"/>
  <c r="F33" i="80" s="1"/>
  <c r="D30" i="73"/>
  <c r="F30" i="73" s="1"/>
  <c r="D45" i="80"/>
  <c r="F45" i="80" s="1"/>
  <c r="D42" i="73"/>
  <c r="F42" i="73" s="1"/>
  <c r="D31" i="80"/>
  <c r="F31" i="80" s="1"/>
  <c r="W246" i="28"/>
  <c r="W260" i="28"/>
  <c r="W192" i="28"/>
  <c r="W247" i="28"/>
  <c r="W255" i="28"/>
  <c r="W191" i="28"/>
  <c r="W248" i="28"/>
  <c r="W249" i="28"/>
  <c r="W257" i="28"/>
  <c r="W254" i="28"/>
  <c r="W250" i="28"/>
  <c r="W258" i="28"/>
  <c r="W161" i="28"/>
  <c r="W244" i="28"/>
  <c r="W259" i="28"/>
  <c r="W193" i="28"/>
  <c r="W256" i="28"/>
  <c r="W251" i="28"/>
  <c r="L254" i="28"/>
  <c r="L259" i="28"/>
  <c r="L258" i="28"/>
  <c r="L260" i="28"/>
  <c r="L248" i="28"/>
  <c r="L249" i="28"/>
  <c r="L250" i="28"/>
  <c r="L256" i="28"/>
  <c r="L251" i="28"/>
  <c r="L257" i="28"/>
  <c r="L44" i="73" l="1"/>
  <c r="M47" i="80"/>
  <c r="M44" i="73"/>
  <c r="D44" i="73" s="1"/>
  <c r="N47" i="80"/>
  <c r="D48" i="73"/>
  <c r="F48" i="73" s="1"/>
  <c r="D51" i="80"/>
  <c r="F51" i="80" s="1"/>
  <c r="D29" i="80"/>
  <c r="F29" i="80" s="1"/>
  <c r="D26" i="73"/>
  <c r="F26" i="73" s="1"/>
  <c r="F35" i="80"/>
  <c r="D32" i="73"/>
  <c r="F32" i="73" s="1"/>
  <c r="D41" i="80"/>
  <c r="F41" i="80" s="1"/>
  <c r="D38" i="73"/>
  <c r="F38" i="73" s="1"/>
  <c r="D47" i="80" l="1"/>
  <c r="B2" i="73"/>
  <c r="C9" i="73" s="1"/>
  <c r="C8" i="73" l="1"/>
  <c r="C6" i="73"/>
  <c r="L14" i="73"/>
  <c r="L13" i="73"/>
  <c r="L20" i="73"/>
  <c r="L19" i="73"/>
  <c r="L18" i="73"/>
  <c r="L12" i="73"/>
  <c r="H28" i="53"/>
  <c r="E27" i="53"/>
  <c r="G11" i="53" l="1"/>
  <c r="G88" i="53" s="1"/>
  <c r="E96" i="53"/>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M13" i="80" s="1"/>
  <c r="L4" i="28"/>
  <c r="L16" i="80"/>
  <c r="L24" i="80"/>
  <c r="L20" i="80"/>
  <c r="L14" i="80"/>
  <c r="D39" i="80"/>
  <c r="L23" i="80"/>
  <c r="L13" i="80"/>
  <c r="L17" i="80"/>
  <c r="L21" i="80"/>
  <c r="B3" i="71"/>
  <c r="B13" i="71"/>
  <c r="B3" i="73"/>
  <c r="Y266" i="28"/>
  <c r="M20" i="80" l="1"/>
  <c r="B9" i="73"/>
  <c r="K36" i="73"/>
  <c r="D36" i="73"/>
  <c r="F36" i="73" s="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D34" i="73"/>
  <c r="F34" i="73" s="1"/>
  <c r="M18" i="80"/>
  <c r="D37" i="80"/>
  <c r="F37" i="80" s="1"/>
  <c r="N17" i="80"/>
  <c r="D17" i="80" s="1"/>
  <c r="F17" i="80" s="1"/>
  <c r="N16" i="80"/>
  <c r="N14" i="80"/>
  <c r="L7" i="80"/>
  <c r="L8" i="80" s="1"/>
  <c r="M20" i="73"/>
  <c r="F20" i="73" s="1"/>
  <c r="M14" i="73"/>
  <c r="D14" i="73" s="1"/>
  <c r="D9" i="73"/>
  <c r="D8" i="73"/>
  <c r="M12" i="73"/>
  <c r="F12" i="73" s="1"/>
  <c r="F14" i="80" s="1"/>
  <c r="M19" i="73"/>
  <c r="D19" i="73" s="1"/>
  <c r="F19" i="73" s="1"/>
  <c r="G124" i="28"/>
  <c r="F124" i="28"/>
  <c r="K15" i="73"/>
  <c r="K5" i="73"/>
  <c r="E6" i="73"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E9"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D46" i="73"/>
  <c r="F46" i="73" s="1"/>
  <c r="F30" i="71"/>
  <c r="L295" i="28"/>
  <c r="J295" i="28"/>
  <c r="H32" i="30"/>
  <c r="F15" i="30"/>
  <c r="F18" i="30" s="1"/>
  <c r="F32" i="30"/>
  <c r="C22" i="30" l="1"/>
  <c r="F21" i="30"/>
  <c r="C21" i="30"/>
  <c r="F23" i="73" l="1"/>
</calcChain>
</file>

<file path=xl/sharedStrings.xml><?xml version="1.0" encoding="utf-8"?>
<sst xmlns="http://schemas.openxmlformats.org/spreadsheetml/2006/main" count="4373" uniqueCount="1857">
  <si>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</si>
  <si>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</si>
  <si>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</si>
  <si>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</si>
  <si>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</si>
  <si>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</si>
  <si>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</si>
  <si>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</si>
  <si>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</si>
  <si>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</si>
  <si>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</si>
  <si>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</si>
  <si>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</si>
  <si>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</si>
  <si>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</si>
  <si>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</si>
  <si>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</si>
  <si>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</si>
  <si>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</si>
  <si>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</si>
  <si>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</si>
  <si>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</si>
  <si>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</si>
  <si>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</si>
  <si>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</si>
  <si>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</si>
  <si>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</si>
  <si>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</si>
  <si>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</si>
  <si>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</si>
  <si>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</si>
  <si>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</si>
  <si>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</si>
  <si>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</si>
  <si>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</si>
  <si>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</si>
  <si>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</si>
  <si>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</si>
  <si>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</si>
  <si>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</si>
  <si>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</si>
  <si>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</si>
  <si>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</si>
  <si>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</si>
  <si>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</si>
  <si>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</si>
  <si>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</si>
  <si>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</si>
  <si>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</si>
  <si>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</si>
  <si>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</si>
  <si>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</si>
  <si>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</si>
  <si>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</si>
  <si>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</si>
  <si>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</si>
  <si>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</si>
  <si>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</si>
  <si>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</si>
  <si>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</si>
  <si>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</si>
  <si>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</si>
  <si>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</si>
  <si>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</si>
  <si>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</si>
  <si>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</si>
  <si>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</si>
  <si>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</si>
  <si>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</si>
  <si>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</si>
  <si>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</si>
  <si>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</si>
  <si>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</si>
  <si>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</si>
  <si>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</si>
  <si>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</si>
  <si>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</si>
  <si>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</si>
  <si>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</si>
  <si>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</si>
  <si>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</si>
  <si>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</si>
  <si>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</si>
  <si>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</si>
  <si>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</si>
  <si>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</si>
  <si>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</si>
  <si>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</si>
  <si>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</si>
  <si>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</si>
  <si>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</si>
  <si>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</si>
  <si>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</si>
  <si>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</si>
  <si>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</si>
  <si>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</si>
  <si>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</si>
  <si>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</si>
  <si>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</si>
  <si>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</si>
  <si>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</si>
  <si>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</si>
  <si>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</si>
  <si>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</si>
  <si>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</si>
  <si>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</si>
  <si>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</si>
  <si>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</si>
  <si>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</si>
  <si>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</si>
  <si>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</si>
  <si>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</si>
  <si>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</si>
  <si>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</si>
  <si>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</si>
  <si>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</si>
  <si>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</si>
  <si>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</si>
  <si>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</si>
  <si>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</si>
  <si>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</si>
  <si>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</si>
  <si>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</si>
  <si>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</si>
  <si>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</si>
  <si>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</si>
  <si>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</si>
  <si>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</si>
  <si>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</si>
  <si>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</si>
  <si>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</si>
  <si>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</si>
  <si>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</si>
  <si>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</si>
  <si>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</si>
  <si>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</si>
  <si>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</si>
  <si>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</si>
  <si>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</si>
  <si>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</si>
  <si>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</si>
  <si>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</si>
  <si>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</si>
  <si>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</si>
  <si>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</si>
  <si>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</si>
  <si>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</si>
  <si>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</si>
  <si>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</si>
  <si>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</si>
  <si>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</si>
  <si>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</si>
  <si>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</si>
  <si>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</si>
  <si>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</si>
  <si>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</si>
  <si>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</si>
  <si>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</si>
  <si>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</si>
  <si>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</si>
  <si>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</si>
  <si>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</si>
  <si>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</si>
  <si>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</si>
  <si>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</si>
  <si>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</si>
  <si>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</si>
  <si>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</si>
  <si>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</si>
  <si>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</si>
  <si>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</si>
  <si>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</si>
  <si>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</si>
  <si>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</si>
  <si>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</si>
  <si>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</si>
  <si>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</si>
  <si>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</si>
  <si>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</si>
  <si>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</si>
  <si>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</si>
  <si>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</si>
  <si>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</si>
  <si>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</si>
  <si>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</si>
  <si>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</si>
  <si>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</si>
  <si>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</si>
  <si>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</si>
  <si>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</si>
  <si>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</si>
  <si>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</si>
  <si>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</si>
  <si>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</si>
  <si>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</si>
  <si>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</si>
  <si>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</si>
  <si>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</si>
  <si>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</si>
  <si>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</si>
  <si>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</si>
  <si>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</si>
  <si>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</si>
  <si>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</si>
  <si>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</si>
  <si>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</si>
  <si>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</si>
  <si>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</si>
  <si>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</si>
  <si>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</si>
  <si>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</si>
  <si>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</si>
  <si>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</si>
  <si>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</si>
  <si>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</si>
  <si>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</si>
  <si>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</si>
  <si>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</si>
  <si>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</si>
  <si>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</si>
  <si>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</si>
  <si>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</si>
  <si>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</si>
  <si>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</si>
  <si>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</si>
  <si>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</si>
  <si>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</si>
  <si>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</si>
  <si>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</si>
  <si>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</si>
  <si>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</si>
  <si>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</si>
  <si>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</si>
  <si>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</si>
  <si>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</si>
  <si>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</si>
  <si>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</si>
  <si>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</si>
  <si>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</si>
  <si>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</si>
  <si>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</si>
  <si>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</si>
  <si>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</si>
  <si>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</si>
  <si>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</si>
  <si>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</si>
  <si>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</si>
  <si>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</si>
  <si>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</si>
  <si>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</si>
  <si>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</si>
  <si>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</si>
  <si>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</si>
  <si>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</si>
  <si>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</si>
  <si>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</si>
  <si>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</si>
  <si>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</si>
  <si>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</si>
  <si>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</si>
  <si>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</si>
  <si>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</si>
  <si>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</si>
  <si>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</si>
  <si>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</si>
  <si>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</si>
  <si>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</si>
  <si>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</si>
  <si>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</si>
  <si>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</si>
  <si>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</si>
  <si>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</si>
  <si>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</si>
  <si>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</si>
  <si>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</si>
  <si>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</si>
  <si>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</si>
  <si>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</si>
  <si>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</si>
  <si>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</si>
  <si>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</si>
  <si>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</si>
  <si>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</si>
  <si>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</si>
  <si>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</si>
  <si>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</si>
  <si>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</si>
  <si>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</si>
  <si>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</si>
  <si>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</si>
  <si>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</si>
  <si>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</si>
  <si>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</si>
  <si>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</si>
  <si>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</si>
  <si>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</si>
  <si>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</si>
  <si>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</si>
  <si>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</si>
  <si>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</si>
  <si>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</si>
  <si>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</si>
  <si>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</si>
  <si>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</si>
  <si>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</si>
  <si>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</si>
  <si>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</si>
  <si>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</si>
  <si>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</si>
  <si>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</si>
  <si>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</si>
  <si>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</si>
  <si>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</si>
  <si>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</si>
  <si>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</si>
  <si>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</si>
  <si>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</si>
  <si>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</si>
  <si>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</si>
  <si>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</si>
  <si>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</si>
  <si>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</si>
  <si>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</si>
  <si>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</si>
  <si>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</si>
  <si>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</si>
  <si>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</si>
  <si>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</si>
  <si>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</si>
  <si>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</si>
  <si>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</si>
  <si>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</si>
  <si>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</si>
  <si>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</si>
  <si>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</si>
  <si>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</si>
  <si>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</si>
  <si>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</si>
  <si>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</si>
  <si>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</si>
  <si>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</si>
  <si>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</si>
  <si>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</si>
  <si>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</si>
  <si>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</si>
  <si>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</si>
  <si>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</si>
  <si>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</si>
  <si>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</si>
  <si>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</si>
  <si>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</si>
  <si>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</si>
  <si>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</si>
  <si>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</si>
  <si>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</si>
  <si>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</si>
  <si>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</si>
  <si>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</si>
  <si>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</si>
  <si>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</si>
  <si>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</si>
  <si>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</si>
  <si>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</si>
  <si>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</si>
  <si>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</si>
  <si>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</si>
  <si>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</si>
  <si>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</si>
  <si>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</si>
  <si>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</si>
  <si>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</si>
  <si>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</si>
  <si>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</si>
  <si>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</si>
  <si>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</si>
  <si>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</si>
  <si>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</si>
  <si>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</si>
  <si>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</si>
  <si>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</si>
  <si>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</si>
  <si>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</si>
  <si>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</si>
  <si>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</si>
  <si>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</si>
  <si>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</si>
  <si>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</si>
  <si>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</si>
  <si>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</si>
  <si>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</si>
  <si>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</si>
  <si>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</si>
  <si>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</si>
  <si>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</si>
  <si>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</si>
  <si>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</si>
  <si>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</si>
  <si>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</si>
  <si>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</si>
  <si>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</si>
  <si>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</si>
  <si>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</si>
  <si>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</si>
  <si>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</si>
  <si>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</si>
  <si>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</si>
  <si>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</si>
  <si>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</si>
  <si>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</si>
  <si>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</si>
  <si>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</si>
  <si>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</si>
  <si>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</si>
  <si>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</si>
  <si>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</si>
  <si>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</si>
  <si>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</si>
  <si>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</si>
  <si>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</si>
  <si>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</si>
  <si>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</si>
  <si>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</si>
  <si>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</si>
  <si>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</si>
  <si>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</si>
  <si>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</si>
  <si>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</si>
  <si>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</si>
  <si>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</si>
  <si>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</si>
  <si>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</si>
  <si>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</si>
  <si>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</si>
  <si>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</si>
  <si>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</si>
  <si>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</si>
  <si>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</si>
  <si>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</si>
  <si>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</si>
  <si>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</si>
  <si>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</si>
  <si>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</si>
  <si>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</si>
  <si>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</si>
  <si>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</si>
  <si>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</si>
  <si>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</si>
  <si>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</si>
  <si>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</si>
  <si>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</si>
  <si>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</si>
  <si>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</si>
  <si>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</si>
  <si>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</si>
  <si>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</si>
  <si>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</si>
  <si>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</si>
  <si>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</si>
  <si>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</si>
  <si>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</si>
  <si>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</si>
  <si>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</si>
  <si>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</si>
  <si>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</si>
  <si>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</si>
  <si>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</si>
  <si>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</si>
  <si>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</si>
  <si>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</si>
  <si>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</si>
  <si>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</si>
  <si>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</si>
  <si>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</si>
  <si>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</si>
  <si>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</si>
  <si>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</si>
  <si>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</si>
  <si>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</si>
  <si>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</si>
  <si>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</si>
  <si>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</si>
  <si>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</si>
  <si>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</si>
  <si>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</si>
  <si>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</si>
  <si>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</si>
  <si>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</si>
  <si>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</si>
  <si>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</si>
  <si>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</si>
  <si>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</si>
  <si>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</si>
  <si>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</si>
  <si>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</si>
  <si>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</si>
  <si>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</si>
  <si>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</si>
  <si>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</si>
  <si>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</si>
  <si>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</si>
  <si>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</si>
  <si>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</si>
  <si>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</si>
  <si>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</si>
  <si>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</si>
  <si>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</si>
  <si>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</si>
  <si>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</si>
  <si>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</si>
  <si>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</si>
  <si>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</si>
  <si>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</si>
  <si>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</si>
  <si>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</si>
  <si>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</si>
  <si>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</si>
  <si>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</si>
  <si>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</si>
  <si>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</si>
  <si>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</si>
  <si>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</si>
  <si>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</si>
  <si>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</si>
  <si>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</si>
  <si>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</si>
  <si>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</si>
  <si>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</si>
  <si>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</si>
  <si>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</si>
  <si>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</si>
  <si>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</si>
  <si>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</si>
  <si>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</si>
  <si>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</si>
  <si>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</si>
  <si>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</si>
  <si>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</si>
  <si>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</si>
  <si>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</si>
  <si>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</si>
  <si>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</si>
  <si>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</si>
  <si>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</si>
  <si>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</si>
  <si>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</si>
  <si>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</si>
  <si>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</si>
  <si>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</si>
  <si>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</si>
  <si>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</si>
  <si>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</si>
  <si>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</si>
  <si>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</si>
  <si>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</si>
  <si>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</si>
  <si>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</si>
  <si>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</si>
  <si>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</si>
  <si>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</si>
  <si>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</si>
  <si>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</si>
  <si>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</si>
  <si>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</si>
  <si>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</si>
  <si>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</si>
  <si>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</si>
  <si>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</si>
  <si>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</si>
  <si>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</si>
  <si>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</si>
  <si>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</si>
  <si>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</si>
  <si>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</si>
  <si>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</si>
  <si>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</si>
  <si>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</si>
  <si>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</si>
  <si>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</si>
  <si>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</si>
  <si>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</si>
  <si>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</si>
  <si>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</si>
  <si>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</si>
  <si>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</si>
  <si>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</si>
  <si>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</si>
  <si>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</si>
  <si>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</si>
  <si>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</si>
  <si>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</si>
  <si>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</si>
  <si>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</si>
  <si>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</si>
  <si>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</si>
  <si>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</si>
  <si>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</si>
  <si>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</si>
  <si>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</si>
  <si>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</si>
  <si>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</si>
  <si>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</si>
  <si>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</si>
  <si>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</si>
  <si>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</si>
  <si>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</si>
  <si>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</si>
  <si>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</si>
  <si>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</si>
  <si>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</si>
  <si>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</si>
  <si>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</si>
  <si>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</si>
  <si>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</si>
  <si>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</si>
  <si>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</si>
  <si>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</si>
  <si>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</si>
  <si>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</si>
  <si>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</si>
  <si>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</si>
  <si>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</si>
  <si>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</si>
  <si>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</si>
  <si>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</si>
  <si>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</si>
  <si>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</si>
  <si>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</si>
  <si>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</si>
  <si>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</si>
  <si>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</si>
  <si>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</si>
  <si>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</si>
  <si>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</si>
  <si>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</si>
  <si>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</si>
  <si>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</si>
  <si>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</si>
  <si>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</si>
  <si>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</si>
  <si>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</si>
  <si>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</si>
  <si>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</si>
  <si>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</si>
  <si>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</si>
  <si>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</si>
  <si>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</si>
  <si>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</si>
  <si>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</si>
  <si>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</si>
  <si>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</si>
  <si>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</si>
  <si>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</si>
  <si>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</si>
  <si>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</si>
  <si>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</si>
  <si>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</si>
  <si>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</si>
  <si>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</si>
  <si>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</si>
  <si>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</si>
  <si>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</si>
  <si>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</si>
  <si>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</si>
  <si>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</si>
  <si>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</si>
  <si>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</si>
  <si>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</si>
  <si>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</si>
  <si>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</si>
  <si>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</si>
  <si>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</si>
  <si>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</si>
  <si>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</si>
  <si>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</si>
  <si>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</si>
  <si>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</si>
  <si>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</si>
  <si>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</si>
  <si>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</si>
  <si>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</si>
  <si>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</si>
  <si>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</si>
  <si>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</si>
  <si>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</si>
  <si>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</si>
  <si>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</si>
  <si>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</si>
  <si>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</si>
  <si>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</si>
  <si>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</si>
  <si>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</si>
  <si>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</si>
  <si>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</si>
  <si>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</si>
  <si>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</si>
  <si>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</si>
  <si>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</si>
  <si>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</si>
  <si>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</si>
  <si>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</si>
  <si>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</si>
  <si>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</si>
  <si>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</si>
  <si>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</si>
  <si>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</si>
  <si>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</si>
  <si>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</si>
  <si>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</si>
  <si>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</si>
  <si>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</si>
  <si>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</si>
  <si>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</si>
  <si>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</si>
  <si>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</si>
  <si>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</si>
  <si>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</si>
  <si>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</si>
  <si>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</si>
  <si>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Year 2018</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</si>
  <si>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</si>
  <si>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</si>
  <si>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</si>
  <si>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</si>
  <si>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</si>
  <si>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</si>
  <si>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</si>
  <si>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</si>
  <si>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</si>
  <si>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</si>
  <si>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</si>
  <si>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</si>
  <si>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</si>
  <si>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</si>
  <si>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</si>
  <si>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</si>
  <si>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</si>
  <si>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</si>
  <si>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</si>
  <si>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</si>
  <si>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</si>
  <si>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</si>
  <si>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</si>
  <si>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</si>
  <si>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</si>
  <si>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</si>
  <si>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</si>
  <si>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</si>
  <si>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</si>
  <si>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</si>
  <si>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</si>
  <si>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</si>
  <si>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</si>
  <si>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</si>
  <si>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</si>
  <si>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</si>
  <si>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</si>
  <si>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</si>
  <si>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</si>
  <si>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</si>
  <si>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</si>
  <si>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</si>
  <si>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</si>
  <si>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</si>
  <si>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</si>
  <si>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</si>
  <si>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</si>
  <si>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</si>
  <si>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</si>
  <si>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</si>
  <si>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</si>
  <si>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</si>
  <si>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</si>
  <si>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</si>
  <si>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</si>
  <si>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</si>
  <si>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</si>
  <si>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</si>
  <si>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</si>
  <si>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</si>
  <si>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</si>
  <si>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</si>
  <si>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</si>
  <si>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</si>
  <si>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</si>
  <si>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</si>
  <si>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</si>
  <si>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</si>
  <si>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</si>
  <si>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</si>
  <si>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</si>
  <si>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</si>
  <si>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</si>
  <si>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</si>
  <si>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</si>
  <si>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</si>
  <si>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</si>
  <si>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</si>
  <si>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</si>
  <si>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</si>
  <si>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</si>
  <si>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</si>
  <si>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</si>
  <si>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</si>
  <si>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</si>
  <si>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</si>
  <si>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</si>
  <si>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</si>
  <si>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</si>
  <si>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</si>
  <si>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</si>
  <si>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</si>
  <si>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</si>
  <si>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</si>
  <si>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</si>
  <si>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</si>
  <si>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</si>
  <si>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</si>
  <si>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</si>
  <si>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</si>
  <si>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</si>
  <si>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</si>
  <si>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</si>
  <si>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</si>
  <si>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</si>
  <si>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</si>
  <si>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</si>
  <si>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</si>
  <si>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</si>
  <si>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</si>
  <si>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</si>
  <si>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</si>
  <si>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</si>
  <si>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</si>
  <si>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</si>
  <si>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</si>
  <si>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</si>
  <si>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</si>
  <si>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</si>
  <si>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</si>
  <si>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</si>
  <si>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</si>
  <si>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</si>
  <si>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</si>
  <si>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</si>
  <si>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Indian Trail</t>
  </si>
  <si>
    <t>Jackson</t>
  </si>
  <si>
    <t>Jacksonville</t>
  </si>
  <si>
    <t>Jamestown</t>
  </si>
  <si>
    <t>Jamesville</t>
  </si>
  <si>
    <t>Jefferson</t>
  </si>
  <si>
    <t>Jonesville</t>
  </si>
  <si>
    <t>Kannapolis</t>
  </si>
  <si>
    <t>Kelford</t>
  </si>
  <si>
    <t>Kenansville</t>
  </si>
  <si>
    <t>Kenly</t>
  </si>
  <si>
    <t>Kernersville</t>
  </si>
  <si>
    <t>Kill Devil Hills</t>
  </si>
  <si>
    <t>King</t>
  </si>
  <si>
    <t>Kings Mountain</t>
  </si>
  <si>
    <t>Kingstown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</si>
  <si>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</si>
  <si>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</si>
  <si>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</si>
  <si>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</si>
  <si>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</si>
  <si>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</si>
  <si>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</si>
  <si>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</si>
  <si>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</si>
  <si>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</si>
  <si>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</si>
  <si>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</si>
  <si>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</si>
  <si>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</si>
  <si>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</si>
  <si>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</si>
  <si>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</si>
  <si>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</si>
  <si>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</si>
  <si>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</si>
  <si>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</si>
  <si>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</si>
  <si>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</si>
  <si>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</si>
  <si>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</si>
  <si>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</si>
  <si>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</si>
  <si>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</si>
  <si>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</si>
  <si>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</si>
  <si>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</si>
  <si>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</si>
  <si>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Love Valley</t>
  </si>
  <si>
    <t>Lowell</t>
  </si>
  <si>
    <t>Lucama</t>
  </si>
  <si>
    <t>Lumber Bridge</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</si>
  <si>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</si>
  <si>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</si>
  <si>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</si>
  <si>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</si>
  <si>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</si>
  <si>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</si>
  <si>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</si>
  <si>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</si>
  <si>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</si>
  <si>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</si>
  <si>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</si>
  <si>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</si>
  <si>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</si>
  <si>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</si>
  <si>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</si>
  <si>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</si>
  <si>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</si>
  <si>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</si>
  <si>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</si>
  <si>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</si>
  <si>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</si>
  <si>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</si>
  <si>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</si>
  <si>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</si>
  <si>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</si>
  <si>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</si>
  <si>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</si>
  <si>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</si>
  <si>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</si>
  <si>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</si>
  <si>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</si>
  <si>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</si>
  <si>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</si>
  <si>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</si>
  <si>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</si>
  <si>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</si>
  <si>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</si>
  <si>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</si>
  <si>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</si>
  <si>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</si>
  <si>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</si>
  <si>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</si>
  <si>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</si>
  <si>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</si>
  <si>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</si>
  <si>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</si>
  <si>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</si>
  <si>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</si>
  <si>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</si>
  <si>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</si>
  <si>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</si>
  <si>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</si>
  <si>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</si>
  <si>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</si>
  <si>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</si>
  <si>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</si>
  <si>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</si>
  <si>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</si>
  <si>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</si>
  <si>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</si>
  <si>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</si>
  <si>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</si>
  <si>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</si>
  <si>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</si>
  <si>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</si>
  <si>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</si>
  <si>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</si>
  <si>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</si>
  <si>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</si>
  <si>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</si>
  <si>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</si>
  <si>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</si>
  <si>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</si>
  <si>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</si>
  <si>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</si>
  <si>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</si>
  <si>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</si>
  <si>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</si>
  <si>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</si>
  <si>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</si>
  <si>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</si>
  <si>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</si>
  <si>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</si>
  <si>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</si>
  <si>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</si>
  <si>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</si>
  <si>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</si>
  <si>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</si>
  <si>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</si>
  <si>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</si>
  <si>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</si>
  <si>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</si>
  <si>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</si>
  <si>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</si>
  <si>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</si>
  <si>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</si>
  <si>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</si>
  <si>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</si>
  <si>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</si>
  <si>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</si>
  <si>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</si>
  <si>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</si>
  <si>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</si>
  <si>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</si>
  <si>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</si>
  <si>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</si>
  <si>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</si>
  <si>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</si>
  <si>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</si>
  <si>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</si>
  <si>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</si>
  <si>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</si>
  <si>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</si>
  <si>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</si>
  <si>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</si>
  <si>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</si>
  <si>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</si>
  <si>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</si>
  <si>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</si>
  <si>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</si>
  <si>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</si>
  <si>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</si>
  <si>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</si>
  <si>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</si>
  <si>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</si>
  <si>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</si>
  <si>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</si>
  <si>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</si>
  <si>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</si>
  <si>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</si>
  <si>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</si>
  <si>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</si>
  <si>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</si>
  <si>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</si>
  <si>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</si>
  <si>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</si>
  <si>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</si>
  <si>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</si>
  <si>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</si>
  <si>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</si>
  <si>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</si>
  <si>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</si>
  <si>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</si>
  <si>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</si>
  <si>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</si>
  <si>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</si>
  <si>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</si>
  <si>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</si>
  <si>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</si>
  <si>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</si>
  <si>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</si>
  <si>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</si>
  <si>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</si>
  <si>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</si>
  <si>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</si>
  <si>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</si>
  <si>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</si>
  <si>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</si>
  <si>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</si>
  <si>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</si>
  <si>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</si>
  <si>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</si>
  <si>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</si>
  <si>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</si>
  <si>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</si>
  <si>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</si>
  <si>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</si>
  <si>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</si>
  <si>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</si>
  <si>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</si>
  <si>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</si>
  <si>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</si>
  <si>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</si>
  <si>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</si>
  <si>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</si>
  <si>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</si>
  <si>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</si>
  <si>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</si>
  <si>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</si>
  <si>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</si>
  <si>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</si>
  <si>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</si>
  <si>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</si>
  <si>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</si>
  <si>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</si>
  <si>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</si>
  <si>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</si>
  <si>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</si>
  <si>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</si>
  <si>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</si>
  <si>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</si>
  <si>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</si>
  <si>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</si>
  <si>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</si>
  <si>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</si>
  <si>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</si>
  <si>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</si>
  <si>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</si>
  <si>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</si>
  <si>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</si>
  <si>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</si>
  <si>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</si>
  <si>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</si>
  <si>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</si>
  <si>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</si>
  <si>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</si>
  <si>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</si>
  <si>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</si>
  <si>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</si>
  <si>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</si>
  <si>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</si>
  <si>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</si>
  <si>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</si>
  <si>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</si>
  <si>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</si>
  <si>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</si>
  <si>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</si>
  <si>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</si>
  <si>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</si>
  <si>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</si>
  <si>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</si>
  <si>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</si>
  <si>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</si>
  <si>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</si>
  <si>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</si>
  <si>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</si>
  <si>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</si>
  <si>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</si>
  <si>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</si>
  <si>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</si>
  <si>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</si>
  <si>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</si>
  <si>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</si>
  <si>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</si>
  <si>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</si>
  <si>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</si>
  <si>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</si>
  <si>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</si>
  <si>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County only question</t>
  </si>
  <si>
    <t>Performance Indicator Worksheet</t>
  </si>
  <si>
    <t>Fiscal Year</t>
  </si>
  <si>
    <t>Unit Number:</t>
  </si>
  <si>
    <t>Explanation of Performance Indicator</t>
  </si>
  <si>
    <t>Equal or greater than 1</t>
  </si>
  <si>
    <t>General Performance Indicators:</t>
  </si>
  <si>
    <t xml:space="preserve">You must include a financial plan to address the progress you have made since you were placed on the UAL in your Response to Audit Findings, Recommendations and Fiscal Issues </t>
  </si>
  <si>
    <t>The unit must address the material and/or significant findings or any other findings that the auditor reported to them.</t>
  </si>
  <si>
    <t>Before December 1 for 2021</t>
  </si>
  <si>
    <t>Less than 3%</t>
  </si>
  <si>
    <t>Any estimated Decrease</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</si>
  <si>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</si>
  <si>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</si>
  <si>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</si>
  <si>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</si>
  <si>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</si>
  <si>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</si>
  <si>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</si>
  <si>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</si>
  <si>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</si>
  <si>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</si>
  <si>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</si>
  <si>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</si>
  <si>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</si>
  <si>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</si>
  <si>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</si>
  <si>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</si>
  <si>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</si>
  <si>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</si>
  <si>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</si>
  <si>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</si>
  <si>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</si>
  <si>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</si>
  <si>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</si>
  <si>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</si>
  <si>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</si>
  <si>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</si>
  <si>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</si>
  <si>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</si>
  <si>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</si>
  <si>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</si>
  <si>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</si>
  <si>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</si>
  <si>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</si>
  <si>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As stewards of the public’s resources, the governing body is responsible for ensuring that the audited financial statements are available to the public in a timely manner.  Information in the report is needed by you and your Board for you to take prompt and effective corrective action on any deficiencies noted.  External groups such as the North Carolina General Assembly, federal and State agencies that provide funding, and other public associations need current financial information about your Unit as well.  In your response please provide details on how the unit will provide a timely audit in the future.</t>
  </si>
  <si>
    <t xml:space="preserve">The local government has indicated that they have a significant unbudgeted cost that could significantly impact their operations and/or customer rates.  Please indicate what are the future annual cost and how the unit intends to pay for these cost.  </t>
  </si>
  <si>
    <t>You have indicated that the portion of your landfill that is estimated to close withing the next 5 years will not have the closure/postclosure cost funded.  Please provide in detail how these cost will be paid and by whom.</t>
  </si>
  <si>
    <t>The Auditor has reported findings to the Board.  The unit must provide detailed actions they are taking to correct or mitigate these findings.  Please provide the written policy changes you are making.</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</si>
  <si>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</si>
  <si>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</si>
  <si>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</si>
  <si>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</si>
  <si>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</si>
  <si>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</si>
  <si>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</si>
  <si>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</si>
  <si>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</si>
  <si>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</si>
  <si>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</si>
  <si>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</si>
  <si>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</si>
  <si>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</si>
  <si>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</si>
  <si>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</si>
  <si>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</si>
  <si>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</si>
  <si>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</si>
  <si>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</si>
  <si>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</si>
  <si>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</si>
  <si>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</si>
  <si>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</si>
  <si>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</si>
  <si>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</si>
  <si>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</si>
  <si>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</si>
  <si>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The 2021 Audit Report is expected to be submitted by the date set by the LGC (not the Oct 31st date) according to the Auditor?</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</si>
  <si>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</si>
  <si>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</si>
  <si>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</si>
  <si>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</si>
  <si>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Please address each statutory violate providing how the violation occurred  and send a copy of written policy changes that will prevent the violation from happening in the future.</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</si>
  <si>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</si>
  <si>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</si>
  <si>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</si>
  <si>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</si>
  <si>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</si>
  <si>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</si>
  <si>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</si>
  <si>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</si>
  <si>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</si>
  <si>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</si>
  <si>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</si>
  <si>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</si>
  <si>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</si>
  <si>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</si>
  <si>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</si>
  <si>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</si>
  <si>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</si>
  <si>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</si>
  <si>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</si>
  <si>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</si>
  <si>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</si>
  <si>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</si>
  <si>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</si>
  <si>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</si>
  <si>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</si>
  <si>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</si>
  <si>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</si>
  <si>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</si>
  <si>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</si>
  <si>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</si>
  <si>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</si>
  <si>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</si>
  <si>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</si>
  <si>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</si>
  <si>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</si>
  <si>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</si>
  <si>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</si>
  <si>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</si>
  <si>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</si>
  <si>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</si>
  <si>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</si>
  <si>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</si>
  <si>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</si>
  <si>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</si>
  <si>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</si>
  <si>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</si>
  <si>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</si>
  <si>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</si>
  <si>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</si>
  <si>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</si>
  <si>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</si>
  <si>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</si>
  <si>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</si>
  <si>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</si>
  <si>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</si>
  <si>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</si>
  <si>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</si>
  <si>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</si>
  <si>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</si>
  <si>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</si>
  <si>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</si>
  <si>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</si>
  <si>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</si>
  <si>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</si>
  <si>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</si>
  <si>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</si>
  <si>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</si>
  <si>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</si>
  <si>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</si>
  <si>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</si>
  <si>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</si>
  <si>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</si>
  <si>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</si>
  <si>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</si>
  <si>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</si>
  <si>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</si>
  <si>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</si>
  <si>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</si>
  <si>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</si>
  <si>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</si>
  <si>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</si>
  <si>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</si>
  <si>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</si>
  <si>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</si>
  <si>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</si>
  <si>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</si>
  <si>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</si>
  <si>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</si>
  <si>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</si>
  <si>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</si>
  <si>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</si>
  <si>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</si>
  <si>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</si>
  <si>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</si>
  <si>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</si>
  <si>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</si>
  <si>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</si>
  <si>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</si>
  <si>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</si>
  <si>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</si>
  <si>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</si>
  <si>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</si>
  <si>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</si>
  <si>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</si>
  <si>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</si>
  <si>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</si>
  <si>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</si>
  <si>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</si>
  <si>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</si>
  <si>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</si>
  <si>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</si>
  <si>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</si>
  <si>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</si>
  <si>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</si>
  <si>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</si>
  <si>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</si>
  <si>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</si>
  <si>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</si>
  <si>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</si>
  <si>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</si>
  <si>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</si>
  <si>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</si>
  <si>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</si>
  <si>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</si>
  <si>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</si>
  <si>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</si>
  <si>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</si>
  <si>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</si>
  <si>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</si>
  <si>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</si>
  <si>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</si>
  <si>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</si>
  <si>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</si>
  <si>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</si>
  <si>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</si>
  <si>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</si>
  <si>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</si>
  <si>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</si>
  <si>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</si>
  <si>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</si>
  <si>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moved to TD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</si>
  <si>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</si>
  <si>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</si>
  <si>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</si>
  <si>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</si>
  <si>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</si>
  <si>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</si>
  <si>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</si>
  <si>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</si>
  <si>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</si>
  <si>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</si>
  <si>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</si>
  <si>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</si>
  <si>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</si>
  <si>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</si>
  <si>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</si>
  <si>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</si>
  <si>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</si>
  <si>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</si>
  <si>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</si>
  <si>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</si>
  <si>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</si>
  <si>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</si>
  <si>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</si>
  <si>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</si>
  <si>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</si>
  <si>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</si>
  <si>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</si>
  <si>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</si>
  <si>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</si>
  <si>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</si>
  <si>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</si>
  <si>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</si>
  <si>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</si>
  <si>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</si>
  <si>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</si>
  <si>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</si>
  <si>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</si>
  <si>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</si>
  <si>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</si>
  <si>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</si>
  <si>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</si>
  <si>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</si>
  <si>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</si>
  <si>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</si>
  <si>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</si>
  <si>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</si>
  <si>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unit's inability to collect more than 3% of its taxes could be an indicator of negative economic events, inaccurate budgeting, and/or process issues with taxes.  Uncollected revenues at the 3% level represent several pennies of the tax rate.  In your response please explain what was the cause of the inability to collect, will the issues continue into future years and how the unit will deal with the revenue shortfall.</t>
  </si>
  <si>
    <t>The unit had expenditures that exceeded the legal budget ordinance.  This indicates that the unit's purchase order system, contract approval process and / or payment process is not in compliance with North Carolina General Statutes 159.  In your response discuss in detail how this over-expenditure occurred and include the written policy changes that were approved to prevent the statutory violations from happening in the future.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</si>
  <si>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</si>
  <si>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Please explain the purpose for any transfers-out from the electric fund, if the transfers were budget in the next fiscal year and if these transfers will continue into the future.  If your unit is subject to GS 159B-39 how will the unit come into compliance with this statute and the impact to the fund that is receiving the transfers.  GS 159B-39 only applies to members of North Carolina Eastern Municipal Power Agency: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</si>
  <si>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</si>
  <si>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</si>
  <si>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</si>
  <si>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</si>
  <si>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</si>
  <si>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</si>
  <si>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</si>
  <si>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</si>
  <si>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</si>
  <si>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</si>
  <si>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</si>
  <si>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</si>
  <si>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</si>
  <si>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</si>
  <si>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</si>
  <si>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</si>
  <si>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</si>
  <si>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</si>
  <si>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</si>
  <si>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</si>
  <si>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</si>
  <si>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</si>
  <si>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</si>
  <si>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t>Please explain the additional issue(s) the unit needs to address in column H to the right.</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</si>
  <si>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</si>
  <si>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</si>
  <si>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</si>
  <si>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</si>
  <si>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</si>
  <si>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</si>
  <si>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All Units</t>
  </si>
  <si>
    <t>County, Muni</t>
  </si>
  <si>
    <t>County, Muni, Utility Authority</t>
  </si>
  <si>
    <t>all Units</t>
  </si>
  <si>
    <t>County, Muni, Utility Authority - any type that issues debt</t>
  </si>
  <si>
    <t>Muni, Utility Authorities</t>
  </si>
  <si>
    <t>all units</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</si>
  <si>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</si>
  <si>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Please indicate the actions the Unit will take to deal with timely debt service payments and/or compliance with bond covenants.</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</si>
  <si>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</si>
  <si>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</si>
  <si>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</si>
  <si>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</si>
  <si>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</si>
  <si>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</si>
  <si>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</si>
  <si>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</si>
  <si>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</si>
  <si>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</si>
  <si>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</si>
  <si>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</si>
  <si>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</si>
  <si>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</si>
  <si>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</si>
  <si>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</si>
  <si>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</si>
  <si>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</si>
  <si>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</si>
  <si>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</si>
  <si>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</si>
  <si>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</si>
  <si>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</si>
  <si>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</si>
  <si>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</si>
  <si>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</si>
  <si>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</si>
  <si>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</si>
  <si>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</si>
  <si>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</si>
  <si>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</si>
  <si>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</si>
  <si>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</si>
  <si>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</si>
  <si>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</si>
  <si>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</si>
  <si>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</si>
  <si>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</si>
  <si>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</si>
  <si>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</si>
  <si>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</si>
  <si>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</si>
  <si>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</si>
  <si>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</si>
  <si>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</si>
  <si>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</si>
  <si>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</si>
  <si>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</si>
  <si>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</si>
  <si>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</si>
  <si>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</si>
  <si>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</si>
  <si>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</si>
  <si>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</si>
  <si>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</si>
  <si>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</si>
  <si>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</si>
  <si>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</si>
  <si>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</si>
  <si>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</si>
  <si>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</si>
  <si>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</si>
  <si>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</si>
  <si>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</si>
  <si>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</si>
  <si>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</si>
  <si>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</si>
  <si>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</si>
  <si>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</si>
  <si>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</si>
  <si>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</si>
  <si>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</si>
  <si>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</si>
  <si>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</si>
  <si>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</si>
  <si>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</si>
  <si>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</si>
  <si>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</si>
  <si>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</si>
  <si>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</si>
  <si>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</si>
  <si>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</si>
  <si>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</si>
  <si>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</si>
  <si>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</si>
  <si>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</si>
  <si>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</si>
  <si>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</si>
  <si>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</si>
  <si>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</si>
  <si>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</si>
  <si>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</si>
  <si>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</si>
  <si>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</si>
  <si>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</si>
  <si>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</si>
  <si>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</si>
  <si>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</si>
  <si>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</si>
  <si>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</si>
  <si>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</si>
  <si>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</si>
  <si>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</si>
  <si>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</si>
  <si>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</si>
  <si>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</si>
  <si>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</si>
  <si>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</si>
  <si>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</si>
  <si>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</si>
  <si>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</si>
  <si>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</si>
  <si>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</si>
  <si>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</si>
  <si>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</si>
  <si>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</si>
  <si>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</si>
  <si>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</si>
  <si>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</si>
  <si>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</si>
  <si>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</si>
  <si>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</si>
  <si>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</si>
  <si>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</si>
  <si>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</si>
  <si>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</si>
  <si>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</si>
  <si>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</si>
  <si>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</si>
  <si>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</si>
  <si>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</si>
  <si>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</si>
  <si>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</si>
  <si>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</si>
  <si>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</si>
  <si>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</si>
  <si>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</si>
  <si>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</si>
  <si>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</si>
  <si>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</si>
  <si>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</si>
  <si>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</si>
  <si>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</si>
  <si>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</si>
  <si>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</si>
  <si>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</si>
  <si>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</si>
  <si>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</si>
  <si>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</si>
  <si>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</si>
  <si>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</si>
  <si>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</si>
  <si>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</si>
  <si>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</si>
  <si>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</si>
  <si>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</si>
  <si>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</si>
  <si>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</si>
  <si>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</si>
  <si>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</si>
  <si>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</si>
  <si>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</si>
  <si>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</si>
  <si>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</si>
  <si>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</si>
  <si>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</si>
  <si>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</si>
  <si>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</si>
  <si>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</si>
  <si>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</si>
  <si>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</si>
  <si>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</si>
  <si>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</si>
  <si>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</si>
  <si>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</si>
  <si>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</si>
  <si>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</si>
  <si>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</si>
  <si>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</si>
  <si>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</si>
  <si>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</si>
  <si>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</si>
  <si>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</si>
  <si>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</si>
  <si>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</si>
  <si>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</si>
  <si>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</si>
  <si>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</si>
  <si>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</si>
  <si>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</si>
  <si>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</si>
  <si>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</si>
  <si>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</si>
  <si>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</si>
  <si>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</si>
  <si>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</si>
  <si>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</si>
  <si>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</si>
  <si>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</si>
  <si>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</si>
  <si>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</si>
  <si>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</si>
  <si>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</si>
  <si>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</si>
  <si>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</si>
  <si>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</si>
  <si>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</si>
  <si>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</si>
  <si>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</si>
  <si>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</si>
  <si>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</si>
  <si>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</si>
  <si>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</si>
  <si>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</si>
  <si>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</si>
  <si>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</si>
  <si>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</si>
  <si>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</si>
  <si>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</si>
  <si>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</si>
  <si>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</si>
  <si>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</si>
  <si>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</si>
  <si>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</si>
  <si>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</si>
  <si>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</si>
  <si>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</si>
  <si>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</si>
  <si>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</si>
  <si>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</si>
  <si>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</si>
  <si>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</si>
  <si>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</si>
  <si>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</si>
  <si>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</si>
  <si>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</si>
  <si>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</si>
  <si>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</si>
  <si>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</si>
  <si>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</si>
  <si>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</si>
  <si>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</si>
  <si>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</si>
  <si>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 xml:space="preserve">If you indicated that you expect a decrease in property value for your next property revaluation.   </t>
  </si>
  <si>
    <t>If you indicated that you expect a decrease in property value for your next property revaluation.   In your Response Letter please discuss the magnitude of the drop in valuation, the overall cause of the drop and how your County plans to recover the lost revenues.</t>
  </si>
  <si>
    <t>If a unit has no performance indicators of concern in column F that would require them to submit a Response to Audit Findings, Recommendations and Fiscal Issues, but they are currently on the  Unit Assistance List, they must still submit a Response to Audit Findings, Recommendations and Fiscal Issues.  Their response should discuss the financial plan they have developed to address the issues that placed them on the Unit Assistance List and the progress they have made to date.</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</si>
  <si>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</si>
  <si>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</si>
  <si>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</si>
  <si>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</si>
  <si>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</si>
  <si>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</si>
  <si>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</si>
  <si>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</si>
  <si>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</si>
  <si>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</si>
  <si>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</si>
  <si>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</si>
  <si>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</si>
  <si>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</si>
  <si>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</si>
  <si>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</si>
  <si>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</si>
  <si>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</si>
  <si>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</si>
  <si>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</si>
  <si>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</si>
  <si>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</si>
  <si>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</si>
  <si>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</si>
  <si>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</si>
  <si>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</si>
  <si>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</si>
  <si>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</si>
  <si>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</si>
  <si>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</si>
  <si>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</si>
  <si>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</si>
  <si>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</si>
  <si>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</si>
  <si>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</si>
  <si>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</si>
  <si>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</si>
  <si>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</si>
  <si>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</si>
  <si>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</si>
  <si>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</si>
  <si>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</si>
  <si>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</si>
  <si>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</si>
  <si>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</si>
  <si>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</si>
  <si>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</si>
  <si>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</si>
  <si>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</si>
  <si>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</si>
  <si>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</si>
  <si>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</si>
  <si>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</si>
  <si>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</si>
  <si>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</si>
  <si>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</si>
  <si>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</si>
  <si>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</si>
  <si>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</si>
  <si>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</si>
  <si>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</si>
  <si>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</si>
  <si>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</si>
  <si>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</si>
  <si>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</si>
  <si>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</si>
  <si>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</si>
  <si>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</si>
  <si>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</si>
  <si>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</si>
  <si>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</si>
  <si>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</si>
  <si>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</si>
  <si>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</si>
  <si>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</si>
  <si>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</si>
  <si>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</si>
  <si>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</si>
  <si>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</si>
  <si>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</si>
  <si>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</si>
  <si>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</si>
  <si>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</si>
  <si>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</si>
  <si>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</si>
  <si>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</si>
  <si>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</si>
  <si>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</si>
  <si>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The 2021 Audit Report is expected to be submitted by the date set by the LGC (not the October 31st date) according to the Auditor?</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</si>
  <si>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</si>
  <si>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</si>
  <si>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</si>
  <si>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</si>
  <si>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</si>
  <si>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</si>
  <si>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</si>
  <si>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</si>
  <si>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</si>
  <si>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</si>
  <si>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</si>
  <si>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</si>
  <si>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</si>
  <si>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</si>
  <si>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</si>
  <si>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</si>
  <si>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</si>
  <si>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</si>
  <si>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</si>
  <si>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TD - auditor</t>
  </si>
  <si>
    <t>TD -Internal</t>
  </si>
  <si>
    <t>do not delete</t>
  </si>
  <si>
    <t>total expenditures for FBA Calculation</t>
  </si>
  <si>
    <t>34%</t>
  </si>
  <si>
    <t>25%</t>
  </si>
  <si>
    <t xml:space="preserve">71% </t>
  </si>
  <si>
    <t>100</t>
  </si>
  <si>
    <t>Electric Gross Capital Assets</t>
  </si>
  <si>
    <t xml:space="preserve">Performance Indicator Tab Target for FBA - County </t>
  </si>
  <si>
    <r>
      <t xml:space="preserve">Indicate if the </t>
    </r>
    <r>
      <rPr>
        <sz val="11"/>
        <rFont val="Calibri"/>
        <family val="2"/>
      </rPr>
      <t xml:space="preserve">Unit does not pay any portion of the retiree's cost other than implicit rate subsidy (1), does not have a plan (2),  has an OPEB plan for which the unit pays at least a portion of retiree’s health care cost (3) or is part of the State Health System (4).  </t>
    </r>
  </si>
  <si>
    <r>
      <rPr>
        <sz val="11"/>
        <rFont val="Calibri"/>
        <family val="2"/>
      </rPr>
      <t>Single Audit Only</t>
    </r>
    <r>
      <rPr>
        <sz val="11"/>
        <rFont val="Century Schoolbook"/>
        <family val="2"/>
      </rPr>
      <t xml:space="preserve"> - total amount of federal awards and grants expended as found on SEFSA</t>
    </r>
  </si>
  <si>
    <r>
      <rPr>
        <sz val="11"/>
        <rFont val="Calibri"/>
        <family val="2"/>
      </rPr>
      <t>Single Audit Only</t>
    </r>
    <r>
      <rPr>
        <sz val="11"/>
        <rFont val="Century Schoolbook"/>
        <family val="2"/>
      </rPr>
      <t xml:space="preserve"> - Total amount of federal awards and grants that were audited as major as found on SEFSA</t>
    </r>
  </si>
  <si>
    <r>
      <rPr>
        <sz val="11"/>
        <rFont val="Calibri"/>
        <family val="2"/>
      </rPr>
      <t>Single Audit Only</t>
    </r>
    <r>
      <rPr>
        <sz val="11"/>
        <rFont val="Century Schoolbook"/>
        <family val="2"/>
      </rPr>
      <t xml:space="preserve"> - total amount of state awards and grants expended as found on SEFSA</t>
    </r>
  </si>
  <si>
    <r>
      <rPr>
        <sz val="11"/>
        <rFont val="Calibri"/>
        <family val="2"/>
      </rPr>
      <t>Single Audit Only</t>
    </r>
    <r>
      <rPr>
        <sz val="11"/>
        <rFont val="Century Schoolbook"/>
        <family val="2"/>
      </rPr>
      <t xml:space="preserve"> - Total amount of state awards and grants that were audited as major as found on SEFSA</t>
    </r>
  </si>
  <si>
    <t>+row295/CCH45</t>
  </si>
  <si>
    <t>Elec  Quick Ratio</t>
  </si>
  <si>
    <t>47-511/48</t>
  </si>
  <si>
    <t>93-94+52-100</t>
  </si>
  <si>
    <t>Unrestricted cash / Total expenses less depreciation+depbt service principal</t>
  </si>
  <si>
    <t>Please indicate if you expect your revaluation to increase, decrease, or no change.  If you are not listed please select N/A</t>
  </si>
  <si>
    <t>2020 Data(H)</t>
  </si>
  <si>
    <t>2019 Data(H)</t>
  </si>
  <si>
    <t>audit completed 02/03/21</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</si>
  <si>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</si>
  <si>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</si>
  <si>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</si>
  <si>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</si>
  <si>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</si>
  <si>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</si>
  <si>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</si>
  <si>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</si>
  <si>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</si>
  <si>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</si>
  <si>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</si>
  <si>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</si>
  <si>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</si>
  <si>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</si>
  <si>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</si>
  <si>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</si>
  <si>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</si>
  <si>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</si>
  <si>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</si>
  <si>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</si>
  <si>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</si>
  <si>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</si>
  <si>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</si>
  <si>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</si>
  <si>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</si>
  <si>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</si>
  <si>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</si>
  <si>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Please do not enter prior's years beginning balance as an adjustment in column F.</t>
  </si>
  <si>
    <t>Formula in cell E250</t>
  </si>
  <si>
    <t>Formula in cell E251</t>
  </si>
  <si>
    <t>Version Date 8/19/2021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</si>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</sst>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sz val="11"/>
      <color theme="5" tint="0.79998168889431442"/>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sz val="11"/>
      <name val="Calibri"/>
      <family val="2"/>
    </font>
    <font>
      <b/>
      <sz val="11"/>
      <color indexed="8"/>
      <name val="Century Schoolbook"/>
      <family val="1"/>
    </font>
    <font>
      <sz val="9"/>
      <color theme="1"/>
      <name val="Century Schoolbook"/>
      <family val="2"/>
    </font>
    <font>
      <sz val="11"/>
      <name val="Arial"/>
      <family val="2"/>
    </font>
    <font>
      <sz val="11"/>
      <name val="Century Schoolbook"/>
      <family val="1"/>
    </font>
    <font>
      <sz val="1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right style="thin">
        <color theme="0"/>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1" tint="0.499984740745262"/>
      </left>
      <right style="medium">
        <color indexed="64"/>
      </right>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8"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8" fillId="0" borderId="0"/>
    <xf numFmtId="0" fontId="68" fillId="0" borderId="0"/>
    <xf numFmtId="0" fontId="68" fillId="0" borderId="0"/>
    <xf numFmtId="0" fontId="68" fillId="0" borderId="0"/>
    <xf numFmtId="0" fontId="68" fillId="0" borderId="0"/>
    <xf numFmtId="0" fontId="11" fillId="0" borderId="0"/>
    <xf numFmtId="0" fontId="68" fillId="0" borderId="0"/>
    <xf numFmtId="0" fontId="6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4" fillId="0" borderId="0"/>
    <xf numFmtId="0" fontId="34" fillId="0" borderId="0"/>
    <xf numFmtId="0" fontId="21" fillId="0" borderId="0"/>
    <xf numFmtId="0" fontId="34" fillId="0" borderId="0"/>
    <xf numFmtId="0" fontId="34" fillId="0" borderId="0"/>
    <xf numFmtId="0" fontId="34" fillId="0" borderId="0"/>
    <xf numFmtId="0" fontId="68"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11"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69"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0"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4" fillId="0" borderId="47" applyNumberFormat="0" applyFill="0" applyAlignment="0" applyProtection="0"/>
    <xf numFmtId="0" fontId="75" fillId="0" borderId="48" applyNumberFormat="0" applyFill="0" applyAlignment="0" applyProtection="0"/>
    <xf numFmtId="0" fontId="76" fillId="0" borderId="49" applyNumberFormat="0" applyFill="0" applyAlignment="0" applyProtection="0"/>
    <xf numFmtId="0" fontId="76" fillId="0" borderId="0" applyNumberFormat="0" applyFill="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9" fillId="40" borderId="50" applyNumberFormat="0" applyAlignment="0" applyProtection="0"/>
    <xf numFmtId="0" fontId="80" fillId="41" borderId="51" applyNumberFormat="0" applyAlignment="0" applyProtection="0"/>
    <xf numFmtId="0" fontId="81" fillId="41" borderId="50" applyNumberFormat="0" applyAlignment="0" applyProtection="0"/>
    <xf numFmtId="0" fontId="82" fillId="0" borderId="52" applyNumberFormat="0" applyFill="0" applyAlignment="0" applyProtection="0"/>
    <xf numFmtId="0" fontId="83" fillId="42" borderId="53" applyNumberFormat="0" applyAlignment="0" applyProtection="0"/>
    <xf numFmtId="0" fontId="71" fillId="0" borderId="0" applyNumberFormat="0" applyFill="0" applyBorder="0" applyAlignment="0" applyProtection="0"/>
    <xf numFmtId="0" fontId="40" fillId="0" borderId="55" applyNumberFormat="0" applyFill="0" applyAlignment="0" applyProtection="0"/>
    <xf numFmtId="0" fontId="84" fillId="44"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3" fillId="39" borderId="0" applyNumberFormat="0" applyBorder="0" applyAlignment="0" applyProtection="0"/>
    <xf numFmtId="0" fontId="34" fillId="43" borderId="54" applyNumberFormat="0" applyFont="0" applyAlignment="0" applyProtection="0"/>
    <xf numFmtId="40" fontId="86" fillId="0" borderId="17">
      <alignment horizontal="right"/>
    </xf>
    <xf numFmtId="0" fontId="87" fillId="0" borderId="0">
      <alignment horizontal="left"/>
    </xf>
    <xf numFmtId="49" fontId="11" fillId="0" borderId="0"/>
    <xf numFmtId="0" fontId="87" fillId="0" borderId="0">
      <alignment horizontal="left"/>
    </xf>
    <xf numFmtId="177" fontId="86" fillId="0" borderId="17">
      <alignment horizontal="right"/>
    </xf>
    <xf numFmtId="49" fontId="8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5" fillId="50" borderId="0">
      <alignment horizontal="right" vertical="center"/>
    </xf>
    <xf numFmtId="49" fontId="85" fillId="50" borderId="0">
      <alignment horizontal="left" vertical="center"/>
    </xf>
    <xf numFmtId="49" fontId="85" fillId="50" borderId="0">
      <alignment horizontal="center" vertical="center"/>
    </xf>
    <xf numFmtId="49" fontId="85" fillId="50" borderId="0">
      <alignment horizontal="center" vertical="center"/>
    </xf>
    <xf numFmtId="49" fontId="85" fillId="50" borderId="0">
      <alignment horizontal="right" vertical="center"/>
    </xf>
    <xf numFmtId="40" fontId="85" fillId="50" borderId="0">
      <alignment horizontal="right"/>
    </xf>
    <xf numFmtId="49" fontId="85"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5" fillId="50" borderId="0">
      <alignment horizontal="center" vertical="center"/>
    </xf>
    <xf numFmtId="49" fontId="85" fillId="50" borderId="0">
      <alignment horizontal="center" vertical="center"/>
    </xf>
    <xf numFmtId="177" fontId="85" fillId="50" borderId="0">
      <alignment horizontal="center" vertical="center"/>
    </xf>
    <xf numFmtId="49" fontId="85" fillId="50" borderId="0">
      <alignment horizontal="right"/>
    </xf>
    <xf numFmtId="40" fontId="86" fillId="0" borderId="19">
      <alignment horizontal="right"/>
    </xf>
    <xf numFmtId="0" fontId="87" fillId="0" borderId="0">
      <alignment horizontal="left"/>
    </xf>
    <xf numFmtId="49" fontId="11" fillId="0" borderId="0"/>
    <xf numFmtId="0" fontId="87" fillId="0" borderId="0">
      <alignment horizontal="left"/>
    </xf>
    <xf numFmtId="177" fontId="86" fillId="0" borderId="19">
      <alignment horizontal="right"/>
    </xf>
    <xf numFmtId="49" fontId="86" fillId="0" borderId="0">
      <alignment horizontal="right"/>
    </xf>
    <xf numFmtId="49" fontId="11" fillId="0" borderId="0"/>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6" fillId="51" borderId="0">
      <alignment horizontal="center" vertical="center"/>
    </xf>
    <xf numFmtId="49" fontId="11" fillId="51" borderId="0">
      <alignment horizontal="left" vertical="center"/>
    </xf>
    <xf numFmtId="49" fontId="86" fillId="51" borderId="0">
      <alignment horizontal="center" vertical="center"/>
    </xf>
    <xf numFmtId="0" fontId="86" fillId="52" borderId="0">
      <alignment horizontal="left"/>
    </xf>
    <xf numFmtId="49" fontId="11" fillId="0" borderId="0"/>
    <xf numFmtId="0" fontId="86" fillId="52" borderId="0">
      <alignment horizontal="left"/>
    </xf>
    <xf numFmtId="40" fontId="86" fillId="0" borderId="0">
      <alignment horizontal="right"/>
    </xf>
    <xf numFmtId="49" fontId="85" fillId="50" borderId="0"/>
    <xf numFmtId="49" fontId="85" fillId="50" borderId="0"/>
    <xf numFmtId="49" fontId="11" fillId="0" borderId="0"/>
    <xf numFmtId="0" fontId="88" fillId="53" borderId="0" applyFont="0" applyFill="0">
      <alignment horizontal="left" vertical="top" wrapText="1"/>
    </xf>
    <xf numFmtId="40" fontId="88" fillId="0" borderId="0"/>
    <xf numFmtId="40" fontId="88" fillId="0" borderId="0"/>
    <xf numFmtId="0" fontId="88" fillId="0" borderId="0">
      <alignment horizontal="left"/>
    </xf>
    <xf numFmtId="0" fontId="88" fillId="0" borderId="0">
      <alignment horizontal="center"/>
    </xf>
    <xf numFmtId="0" fontId="89" fillId="0" borderId="0">
      <alignment horizontal="center"/>
    </xf>
    <xf numFmtId="0" fontId="90" fillId="50" borderId="0">
      <alignment horizontal="left"/>
    </xf>
    <xf numFmtId="0" fontId="90" fillId="50" borderId="0">
      <alignment horizontal="left"/>
    </xf>
    <xf numFmtId="0" fontId="89" fillId="0" borderId="0">
      <alignment horizontal="center"/>
    </xf>
    <xf numFmtId="40" fontId="91" fillId="0" borderId="18"/>
    <xf numFmtId="40" fontId="91" fillId="0" borderId="18"/>
    <xf numFmtId="0" fontId="91" fillId="0" borderId="0"/>
    <xf numFmtId="0" fontId="91" fillId="0" borderId="0"/>
    <xf numFmtId="0" fontId="89" fillId="0" borderId="0">
      <alignment horizontal="center"/>
    </xf>
    <xf numFmtId="0" fontId="92" fillId="54" borderId="0">
      <alignment horizontal="left"/>
    </xf>
    <xf numFmtId="0" fontId="92" fillId="54" borderId="0">
      <alignment horizontal="left"/>
    </xf>
    <xf numFmtId="40" fontId="86" fillId="0" borderId="0">
      <alignment horizontal="right"/>
    </xf>
    <xf numFmtId="0" fontId="87" fillId="0" borderId="0">
      <alignment horizontal="left"/>
    </xf>
    <xf numFmtId="49" fontId="11" fillId="0" borderId="0"/>
    <xf numFmtId="0" fontId="87" fillId="0" borderId="0">
      <alignment horizontal="left"/>
    </xf>
    <xf numFmtId="177" fontId="86" fillId="0" borderId="0">
      <alignment horizontal="right"/>
    </xf>
    <xf numFmtId="49" fontId="86" fillId="0" borderId="0" applyBorder="0">
      <alignment horizontal="right"/>
    </xf>
    <xf numFmtId="0" fontId="11" fillId="0" borderId="0"/>
    <xf numFmtId="49" fontId="94" fillId="53" borderId="0">
      <alignment horizontal="left"/>
    </xf>
    <xf numFmtId="49" fontId="94" fillId="53" borderId="0">
      <alignment horizontal="left"/>
    </xf>
    <xf numFmtId="0" fontId="95" fillId="53" borderId="0">
      <alignment horizontal="left"/>
    </xf>
    <xf numFmtId="178" fontId="95" fillId="53" borderId="0">
      <alignment horizontal="left"/>
    </xf>
    <xf numFmtId="40" fontId="86" fillId="0" borderId="0">
      <alignment horizontal="right"/>
    </xf>
    <xf numFmtId="49" fontId="96" fillId="53" borderId="0">
      <alignment horizontal="left"/>
    </xf>
    <xf numFmtId="49" fontId="96" fillId="53" borderId="0">
      <alignment horizontal="left"/>
    </xf>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0" fontId="86" fillId="0" borderId="14">
      <alignment horizontal="right"/>
    </xf>
    <xf numFmtId="0" fontId="86" fillId="52" borderId="0">
      <alignment horizontal="left"/>
    </xf>
    <xf numFmtId="49" fontId="11" fillId="0" borderId="0"/>
    <xf numFmtId="0" fontId="86" fillId="52" borderId="0">
      <alignment horizontal="left"/>
    </xf>
    <xf numFmtId="177" fontId="86" fillId="0" borderId="14">
      <alignment horizontal="right"/>
    </xf>
    <xf numFmtId="49" fontId="86" fillId="0" borderId="0">
      <alignment horizontal="right"/>
    </xf>
    <xf numFmtId="0" fontId="91" fillId="0" borderId="0"/>
    <xf numFmtId="40" fontId="88" fillId="0" borderId="18"/>
    <xf numFmtId="40" fontId="88" fillId="0" borderId="18"/>
    <xf numFmtId="0" fontId="88" fillId="0" borderId="0"/>
    <xf numFmtId="0" fontId="88" fillId="0" borderId="0"/>
    <xf numFmtId="40" fontId="88" fillId="0" borderId="0"/>
    <xf numFmtId="179" fontId="88" fillId="0" borderId="0"/>
    <xf numFmtId="40" fontId="88" fillId="0" borderId="0"/>
    <xf numFmtId="0" fontId="88" fillId="0" borderId="0"/>
    <xf numFmtId="0" fontId="88" fillId="0" borderId="0"/>
    <xf numFmtId="40" fontId="86" fillId="0" borderId="18">
      <alignment horizontal="right"/>
    </xf>
    <xf numFmtId="49" fontId="86" fillId="0" borderId="0">
      <alignment horizontal="left"/>
    </xf>
    <xf numFmtId="49" fontId="11" fillId="0" borderId="0"/>
    <xf numFmtId="49" fontId="86" fillId="0" borderId="0">
      <alignment horizontal="left"/>
    </xf>
    <xf numFmtId="177" fontId="86" fillId="0" borderId="18">
      <alignment horizontal="right"/>
    </xf>
    <xf numFmtId="49" fontId="86"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7"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4" fillId="57" borderId="0" applyNumberFormat="0" applyBorder="0" applyAlignment="0" applyProtection="0"/>
    <xf numFmtId="0" fontId="98" fillId="57" borderId="0" applyNumberFormat="0" applyBorder="0" applyAlignment="0" applyProtection="0"/>
    <xf numFmtId="0" fontId="84" fillId="60" borderId="0" applyNumberFormat="0" applyBorder="0" applyAlignment="0" applyProtection="0"/>
    <xf numFmtId="0" fontId="98" fillId="60" borderId="0" applyNumberFormat="0" applyBorder="0" applyAlignment="0" applyProtection="0"/>
    <xf numFmtId="0" fontId="84" fillId="63" borderId="0" applyNumberFormat="0" applyBorder="0" applyAlignment="0" applyProtection="0"/>
    <xf numFmtId="0" fontId="98" fillId="63" borderId="0" applyNumberFormat="0" applyBorder="0" applyAlignment="0" applyProtection="0"/>
    <xf numFmtId="0" fontId="84" fillId="66" borderId="0" applyNumberFormat="0" applyBorder="0" applyAlignment="0" applyProtection="0"/>
    <xf numFmtId="0" fontId="98" fillId="66" borderId="0" applyNumberFormat="0" applyBorder="0" applyAlignment="0" applyProtection="0"/>
    <xf numFmtId="0" fontId="84" fillId="69" borderId="0" applyNumberFormat="0" applyBorder="0" applyAlignment="0" applyProtection="0"/>
    <xf numFmtId="0" fontId="98" fillId="69" borderId="0" applyNumberFormat="0" applyBorder="0" applyAlignment="0" applyProtection="0"/>
    <xf numFmtId="0" fontId="84" fillId="72" borderId="0" applyNumberFormat="0" applyBorder="0" applyAlignment="0" applyProtection="0"/>
    <xf numFmtId="0" fontId="98" fillId="72"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7"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99" fillId="38" borderId="0" applyNumberFormat="0" applyBorder="0" applyAlignment="0" applyProtection="0"/>
    <xf numFmtId="0" fontId="100" fillId="41" borderId="50" applyNumberFormat="0" applyAlignment="0" applyProtection="0"/>
    <xf numFmtId="0" fontId="101"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2" fillId="0" borderId="0" applyNumberFormat="0" applyFill="0" applyBorder="0" applyAlignment="0" applyProtection="0"/>
    <xf numFmtId="0" fontId="103" fillId="37" borderId="0" applyNumberFormat="0" applyBorder="0" applyAlignment="0" applyProtection="0"/>
    <xf numFmtId="0" fontId="104" fillId="0" borderId="47" applyNumberFormat="0" applyFill="0" applyAlignment="0" applyProtection="0"/>
    <xf numFmtId="0" fontId="105"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6" fillId="0" borderId="49" applyNumberFormat="0" applyFill="0" applyAlignment="0" applyProtection="0"/>
    <xf numFmtId="0" fontId="106" fillId="0" borderId="0" applyNumberFormat="0" applyFill="0" applyBorder="0" applyAlignment="0" applyProtection="0"/>
    <xf numFmtId="0" fontId="107" fillId="40" borderId="50" applyNumberFormat="0" applyAlignment="0" applyProtection="0"/>
    <xf numFmtId="0" fontId="108" fillId="0" borderId="52" applyNumberFormat="0" applyFill="0" applyAlignment="0" applyProtection="0"/>
    <xf numFmtId="0" fontId="109"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0" fillId="41" borderId="51" applyNumberFormat="0" applyAlignment="0" applyProtection="0"/>
    <xf numFmtId="9" fontId="6" fillId="0" borderId="0" applyFont="0" applyFill="0" applyBorder="0" applyAlignment="0" applyProtection="0"/>
    <xf numFmtId="0" fontId="111" fillId="0" borderId="0" applyNumberFormat="0" applyFill="0" applyBorder="0" applyAlignment="0" applyProtection="0"/>
    <xf numFmtId="0" fontId="112" fillId="0" borderId="55" applyNumberFormat="0" applyFill="0" applyAlignment="0" applyProtection="0"/>
    <xf numFmtId="0" fontId="113" fillId="0" borderId="0" applyNumberFormat="0" applyFill="0" applyBorder="0" applyAlignment="0" applyProtection="0"/>
    <xf numFmtId="0" fontId="116" fillId="0" borderId="0"/>
    <xf numFmtId="43" fontId="117" fillId="0" borderId="0" applyFont="0" applyFill="0" applyBorder="0" applyAlignment="0" applyProtection="0"/>
    <xf numFmtId="0" fontId="117"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7" fillId="0" borderId="0"/>
    <xf numFmtId="0" fontId="1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8" fillId="0" borderId="0"/>
    <xf numFmtId="43" fontId="116" fillId="0" borderId="0" applyFont="0" applyFill="0" applyBorder="0" applyAlignment="0" applyProtection="0"/>
    <xf numFmtId="0" fontId="116" fillId="0" borderId="0"/>
    <xf numFmtId="0" fontId="153" fillId="0" borderId="0"/>
    <xf numFmtId="0" fontId="34" fillId="0" borderId="0"/>
    <xf numFmtId="0" fontId="153" fillId="0" borderId="0"/>
    <xf numFmtId="43" fontId="116" fillId="0" borderId="0" applyFont="0" applyFill="0" applyBorder="0" applyAlignment="0" applyProtection="0"/>
    <xf numFmtId="0" fontId="116" fillId="0" borderId="0"/>
    <xf numFmtId="0" fontId="116" fillId="0" borderId="0"/>
    <xf numFmtId="0" fontId="116" fillId="0" borderId="0"/>
    <xf numFmtId="0" fontId="156" fillId="0" borderId="0"/>
    <xf numFmtId="0" fontId="156" fillId="0" borderId="0"/>
    <xf numFmtId="0" fontId="157" fillId="0" borderId="0"/>
    <xf numFmtId="0" fontId="156" fillId="0" borderId="0"/>
    <xf numFmtId="0" fontId="153" fillId="0" borderId="0"/>
    <xf numFmtId="0" fontId="156"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3" fillId="0" borderId="0"/>
    <xf numFmtId="0" fontId="153" fillId="0" borderId="0"/>
    <xf numFmtId="0" fontId="156" fillId="0" borderId="0"/>
    <xf numFmtId="0" fontId="153" fillId="0" borderId="0"/>
    <xf numFmtId="0" fontId="153"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3" fillId="0" borderId="0"/>
    <xf numFmtId="0" fontId="157" fillId="0" borderId="0"/>
    <xf numFmtId="0" fontId="153"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8"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6" fillId="0" borderId="0"/>
    <xf numFmtId="43" fontId="116" fillId="0" borderId="0" applyFont="0" applyFill="0" applyBorder="0" applyAlignment="0" applyProtection="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4" fillId="0" borderId="0"/>
  </cellStyleXfs>
  <cellXfs count="1453">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59"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0" fillId="0" borderId="25" xfId="0" applyNumberFormat="1" applyFont="1" applyFill="1" applyBorder="1" applyAlignment="1" applyProtection="1">
      <alignment horizontal="center" vertical="center"/>
    </xf>
    <xf numFmtId="0" fontId="61"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59"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9" fillId="0" borderId="0" xfId="0" applyFont="1" applyProtection="1"/>
    <xf numFmtId="0" fontId="59" fillId="23" borderId="23" xfId="0" applyNumberFormat="1" applyFont="1" applyFill="1" applyBorder="1" applyAlignment="1" applyProtection="1">
      <alignment horizontal="left" vertical="center" wrapText="1"/>
    </xf>
    <xf numFmtId="0" fontId="59"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9"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2"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9"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4"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59" fillId="0" borderId="29" xfId="439" applyNumberFormat="1" applyFont="1" applyFill="1" applyBorder="1" applyAlignment="1" applyProtection="1">
      <alignment horizontal="center" vertical="center" wrapText="1"/>
    </xf>
    <xf numFmtId="39" fontId="59"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3"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59"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0" fontId="65"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59"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9" fillId="29" borderId="23" xfId="439" applyNumberFormat="1" applyFont="1" applyFill="1" applyBorder="1" applyAlignment="1" applyProtection="1">
      <alignment horizontal="center" vertical="center" wrapText="1"/>
      <protection locked="0"/>
    </xf>
    <xf numFmtId="37" fontId="60"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0"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9"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9"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9" fillId="0" borderId="29" xfId="439" applyNumberFormat="1" applyFont="1" applyFill="1" applyBorder="1" applyAlignment="1" applyProtection="1">
      <alignment horizontal="center" vertical="center" wrapText="1"/>
    </xf>
    <xf numFmtId="172" fontId="59"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9" fillId="29" borderId="44" xfId="439" applyNumberFormat="1" applyFont="1" applyFill="1" applyBorder="1" applyAlignment="1" applyProtection="1">
      <alignment horizontal="center" vertical="center" wrapText="1"/>
      <protection locked="0"/>
    </xf>
    <xf numFmtId="164" fontId="59" fillId="0" borderId="30" xfId="439" applyNumberFormat="1" applyFont="1" applyFill="1" applyBorder="1" applyAlignment="1" applyProtection="1">
      <alignment horizontal="center" vertical="center" wrapText="1"/>
    </xf>
    <xf numFmtId="39" fontId="59" fillId="0" borderId="27" xfId="439" applyNumberFormat="1" applyFont="1" applyFill="1" applyBorder="1" applyAlignment="1" applyProtection="1">
      <alignment horizontal="center" vertical="center" wrapText="1"/>
    </xf>
    <xf numFmtId="164" fontId="59"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9" fillId="29" borderId="45" xfId="439" applyNumberFormat="1" applyFont="1" applyFill="1" applyBorder="1" applyAlignment="1" applyProtection="1">
      <alignment horizontal="center" vertical="center" wrapText="1"/>
      <protection locked="0"/>
    </xf>
    <xf numFmtId="0" fontId="59" fillId="0" borderId="30" xfId="0" applyNumberFormat="1" applyFont="1" applyFill="1" applyBorder="1" applyAlignment="1" applyProtection="1">
      <alignment horizontal="left" vertical="center" wrapText="1"/>
    </xf>
    <xf numFmtId="0" fontId="59" fillId="23" borderId="31" xfId="0" applyNumberFormat="1" applyFont="1" applyFill="1" applyBorder="1" applyAlignment="1" applyProtection="1">
      <alignment horizontal="left" vertical="center" wrapText="1"/>
    </xf>
    <xf numFmtId="0" fontId="59"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1" fillId="0" borderId="0" xfId="0" applyNumberFormat="1" applyFont="1" applyFill="1" applyAlignment="1" applyProtection="1">
      <alignment horizontal="left" vertical="center" wrapText="1" indent="6"/>
    </xf>
    <xf numFmtId="0" fontId="59"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wrapText="1"/>
    </xf>
    <xf numFmtId="14" fontId="59"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59" fillId="22" borderId="23" xfId="439" applyNumberFormat="1" applyFont="1" applyFill="1" applyBorder="1" applyAlignment="1" applyProtection="1">
      <alignment horizontal="center" vertical="center" wrapText="1"/>
      <protection locked="0"/>
    </xf>
    <xf numFmtId="172" fontId="59" fillId="22" borderId="23" xfId="439" applyNumberFormat="1" applyFont="1" applyFill="1" applyBorder="1" applyAlignment="1" applyProtection="1">
      <alignment horizontal="center" vertical="center" wrapText="1"/>
    </xf>
    <xf numFmtId="39" fontId="59" fillId="22" borderId="28" xfId="439" applyNumberFormat="1" applyFont="1" applyFill="1" applyBorder="1" applyAlignment="1" applyProtection="1">
      <alignment horizontal="center" vertical="center" wrapText="1"/>
    </xf>
    <xf numFmtId="164" fontId="59"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59"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59" fillId="22" borderId="30" xfId="439" applyNumberFormat="1" applyFont="1" applyFill="1" applyBorder="1" applyAlignment="1" applyProtection="1">
      <alignment horizontal="center" vertical="center" wrapText="1"/>
    </xf>
    <xf numFmtId="175" fontId="59" fillId="75" borderId="23" xfId="439" applyNumberFormat="1" applyFont="1" applyFill="1" applyBorder="1" applyAlignment="1" applyProtection="1">
      <alignment horizontal="center" vertical="center" wrapText="1"/>
    </xf>
    <xf numFmtId="3" fontId="59" fillId="0" borderId="23" xfId="439" applyNumberFormat="1" applyFont="1" applyFill="1" applyBorder="1" applyAlignment="1" applyProtection="1">
      <alignment horizontal="center" vertical="center" wrapText="1"/>
      <protection locked="0"/>
    </xf>
    <xf numFmtId="180" fontId="59" fillId="75" borderId="23" xfId="439" applyNumberFormat="1" applyFont="1" applyFill="1" applyBorder="1" applyAlignment="1" applyProtection="1">
      <alignment horizontal="center" vertical="center" wrapText="1"/>
    </xf>
    <xf numFmtId="39" fontId="59" fillId="0" borderId="23" xfId="439" applyNumberFormat="1" applyFont="1" applyFill="1" applyBorder="1" applyAlignment="1" applyProtection="1">
      <alignment horizontal="center" vertical="center" wrapText="1"/>
    </xf>
    <xf numFmtId="3" fontId="59" fillId="0" borderId="31" xfId="439" applyNumberFormat="1" applyFont="1" applyFill="1" applyBorder="1" applyAlignment="1" applyProtection="1">
      <alignment horizontal="center" vertical="center" wrapText="1"/>
    </xf>
    <xf numFmtId="3" fontId="59" fillId="23" borderId="31" xfId="439" applyNumberFormat="1" applyFont="1" applyFill="1" applyBorder="1" applyAlignment="1" applyProtection="1">
      <alignment horizontal="center" vertical="center" wrapText="1"/>
    </xf>
    <xf numFmtId="3" fontId="59" fillId="23" borderId="23" xfId="439" applyNumberFormat="1" applyFont="1" applyFill="1" applyBorder="1" applyAlignment="1" applyProtection="1">
      <alignment horizontal="center" vertical="center" wrapText="1"/>
    </xf>
    <xf numFmtId="3" fontId="59" fillId="0" borderId="30" xfId="439" applyNumberFormat="1" applyFont="1" applyFill="1" applyBorder="1" applyAlignment="1" applyProtection="1">
      <alignment horizontal="center" vertical="center" wrapText="1"/>
    </xf>
    <xf numFmtId="37" fontId="59"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5"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3" fillId="22" borderId="0" xfId="0" applyFont="1" applyFill="1" applyProtection="1"/>
    <xf numFmtId="0" fontId="120" fillId="22" borderId="0" xfId="0" applyFont="1" applyFill="1" applyProtection="1"/>
    <xf numFmtId="0" fontId="84" fillId="22" borderId="0" xfId="0" applyFont="1" applyFill="1" applyAlignment="1" applyProtection="1">
      <alignment vertical="center" wrapText="1"/>
    </xf>
    <xf numFmtId="0" fontId="84" fillId="22" borderId="0" xfId="0" applyFont="1" applyFill="1" applyAlignment="1" applyProtection="1">
      <alignment vertical="center"/>
      <protection locked="0"/>
    </xf>
    <xf numFmtId="0" fontId="84" fillId="22" borderId="0" xfId="0" applyFont="1" applyFill="1" applyAlignment="1" applyProtection="1">
      <alignment vertical="center"/>
    </xf>
    <xf numFmtId="0" fontId="0" fillId="0" borderId="0" xfId="0" applyAlignment="1">
      <alignment horizontal="center"/>
    </xf>
    <xf numFmtId="0" fontId="84"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59"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1" fillId="73" borderId="0" xfId="0" applyFont="1" applyFill="1" applyAlignment="1">
      <alignment vertical="center" wrapText="1"/>
    </xf>
    <xf numFmtId="0" fontId="48" fillId="73" borderId="0" xfId="0" applyFont="1" applyFill="1" applyAlignment="1">
      <alignment horizontal="justify" vertical="center"/>
    </xf>
    <xf numFmtId="0" fontId="126" fillId="77" borderId="0" xfId="0" applyFont="1" applyFill="1" applyAlignment="1">
      <alignment vertical="center"/>
    </xf>
    <xf numFmtId="0" fontId="63" fillId="0" borderId="45" xfId="0" applyFont="1" applyFill="1" applyBorder="1" applyAlignment="1" applyProtection="1">
      <alignment horizontal="center" vertical="center" wrapText="1"/>
    </xf>
    <xf numFmtId="0" fontId="63" fillId="32" borderId="45" xfId="0" applyFont="1" applyFill="1" applyBorder="1" applyAlignment="1" applyProtection="1">
      <alignment horizontal="center" vertical="center" wrapText="1"/>
    </xf>
    <xf numFmtId="0" fontId="59"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59" fillId="0" borderId="23" xfId="439" applyNumberFormat="1" applyFont="1" applyFill="1" applyBorder="1" applyAlignment="1" applyProtection="1">
      <alignment horizontal="center" vertical="center" wrapText="1"/>
    </xf>
    <xf numFmtId="0" fontId="122" fillId="73" borderId="0" xfId="0" applyFont="1" applyFill="1" applyAlignment="1">
      <alignment horizontal="left" vertical="center" wrapText="1"/>
    </xf>
    <xf numFmtId="0" fontId="34" fillId="73" borderId="0" xfId="30098" applyFill="1"/>
    <xf numFmtId="0" fontId="125" fillId="77" borderId="0" xfId="30098" applyFont="1" applyFill="1" applyAlignment="1">
      <alignment horizontal="center" vertical="center" wrapText="1"/>
    </xf>
    <xf numFmtId="0" fontId="121" fillId="73" borderId="0" xfId="30098" applyFont="1" applyFill="1" applyAlignment="1">
      <alignment vertical="center" wrapText="1"/>
    </xf>
    <xf numFmtId="0" fontId="48" fillId="73" borderId="0" xfId="30098" applyFont="1" applyFill="1" applyAlignment="1">
      <alignment vertical="center" wrapText="1"/>
    </xf>
    <xf numFmtId="0" fontId="126" fillId="77" borderId="0" xfId="30098" applyFont="1" applyFill="1" applyAlignment="1">
      <alignment vertical="center"/>
    </xf>
    <xf numFmtId="0" fontId="129" fillId="0" borderId="0" xfId="30099" applyFont="1" applyAlignment="1">
      <alignment horizontal="left" vertical="top"/>
    </xf>
    <xf numFmtId="0" fontId="131" fillId="0" borderId="0" xfId="30099" applyFont="1" applyAlignment="1">
      <alignment horizontal="left" vertical="top"/>
    </xf>
    <xf numFmtId="0" fontId="129" fillId="36" borderId="0" xfId="30099" applyFont="1" applyFill="1" applyAlignment="1">
      <alignment horizontal="left" vertical="top"/>
    </xf>
    <xf numFmtId="0" fontId="131" fillId="0" borderId="0" xfId="30099" applyFont="1" applyAlignment="1">
      <alignment vertical="top"/>
    </xf>
    <xf numFmtId="0" fontId="129" fillId="0" borderId="0" xfId="30099" applyFont="1" applyAlignment="1">
      <alignment vertical="top"/>
    </xf>
    <xf numFmtId="0" fontId="131" fillId="79" borderId="13" xfId="30099" applyFont="1" applyFill="1" applyBorder="1" applyAlignment="1">
      <alignment horizontal="left" vertical="top"/>
    </xf>
    <xf numFmtId="0" fontId="131" fillId="79" borderId="16" xfId="30099" applyFont="1" applyFill="1" applyBorder="1" applyAlignment="1">
      <alignment horizontal="left" vertical="top"/>
    </xf>
    <xf numFmtId="164" fontId="136" fillId="79" borderId="16" xfId="30100" applyNumberFormat="1" applyFont="1" applyFill="1" applyBorder="1" applyAlignment="1">
      <alignment vertical="center"/>
    </xf>
    <xf numFmtId="0" fontId="137" fillId="79" borderId="16" xfId="30099" applyFont="1" applyFill="1" applyBorder="1" applyAlignment="1">
      <alignment vertical="center" wrapText="1"/>
    </xf>
    <xf numFmtId="0" fontId="137" fillId="79" borderId="16" xfId="30099" applyFont="1" applyFill="1" applyBorder="1" applyAlignment="1">
      <alignment vertical="center"/>
    </xf>
    <xf numFmtId="0" fontId="129" fillId="79" borderId="11" xfId="30099" applyFont="1" applyFill="1" applyBorder="1" applyAlignment="1">
      <alignment horizontal="left" vertical="top" wrapText="1"/>
    </xf>
    <xf numFmtId="0" fontId="138" fillId="0" borderId="0" xfId="30099" applyFont="1" applyAlignment="1">
      <alignment horizontal="left" vertical="top"/>
    </xf>
    <xf numFmtId="0" fontId="138" fillId="26" borderId="15" xfId="30099" applyFont="1" applyFill="1" applyBorder="1" applyAlignment="1">
      <alignment horizontal="left" vertical="top"/>
    </xf>
    <xf numFmtId="0" fontId="138" fillId="26" borderId="0" xfId="30099" applyFont="1" applyFill="1" applyAlignment="1">
      <alignment horizontal="left" vertical="top"/>
    </xf>
    <xf numFmtId="0" fontId="129" fillId="26" borderId="0" xfId="30099" applyFont="1" applyFill="1" applyAlignment="1">
      <alignment horizontal="left" vertical="top" wrapText="1"/>
    </xf>
    <xf numFmtId="0" fontId="138" fillId="26" borderId="0" xfId="30099" applyFont="1" applyFill="1" applyAlignment="1">
      <alignment horizontal="left" vertical="center"/>
    </xf>
    <xf numFmtId="0" fontId="138" fillId="26" borderId="60" xfId="30099" applyFont="1" applyFill="1" applyBorder="1" applyAlignment="1">
      <alignment horizontal="left" vertical="top" wrapText="1"/>
    </xf>
    <xf numFmtId="0" fontId="129" fillId="26" borderId="15" xfId="30099" applyFont="1" applyFill="1" applyBorder="1" applyAlignment="1">
      <alignment horizontal="left" vertical="top"/>
    </xf>
    <xf numFmtId="0" fontId="129" fillId="26" borderId="0" xfId="30099" applyFont="1" applyFill="1" applyAlignment="1">
      <alignment horizontal="left" vertical="top"/>
    </xf>
    <xf numFmtId="0" fontId="129" fillId="26" borderId="60" xfId="30099" applyFont="1" applyFill="1" applyBorder="1" applyAlignment="1">
      <alignment horizontal="left" vertical="top" wrapText="1"/>
    </xf>
    <xf numFmtId="0" fontId="141" fillId="26" borderId="0" xfId="30099" applyFont="1" applyFill="1" applyAlignment="1">
      <alignment horizontal="left" vertical="top"/>
    </xf>
    <xf numFmtId="0" fontId="129" fillId="26" borderId="0" xfId="30099" applyFont="1" applyFill="1" applyAlignment="1">
      <alignment horizontal="left" vertical="center"/>
    </xf>
    <xf numFmtId="14" fontId="129" fillId="0" borderId="70" xfId="30099" applyNumberFormat="1" applyFont="1" applyBorder="1" applyAlignment="1" applyProtection="1">
      <alignment horizontal="center" vertical="center"/>
      <protection locked="0"/>
    </xf>
    <xf numFmtId="0" fontId="129" fillId="26" borderId="0" xfId="30099" applyFont="1" applyFill="1" applyAlignment="1">
      <alignment horizontal="left" vertical="center" wrapText="1"/>
    </xf>
    <xf numFmtId="0" fontId="129" fillId="0" borderId="70" xfId="30099" applyFont="1" applyBorder="1" applyAlignment="1" applyProtection="1">
      <alignment horizontal="center" vertical="center"/>
      <protection locked="0"/>
    </xf>
    <xf numFmtId="0" fontId="145" fillId="26" borderId="0" xfId="30099" applyFont="1" applyFill="1" applyAlignment="1">
      <alignment horizontal="center" vertical="center" wrapText="1"/>
    </xf>
    <xf numFmtId="0" fontId="129" fillId="0" borderId="57" xfId="30099" applyFont="1" applyBorder="1" applyAlignment="1" applyProtection="1">
      <alignment horizontal="center" vertical="center"/>
      <protection locked="0"/>
    </xf>
    <xf numFmtId="0" fontId="129" fillId="26" borderId="0" xfId="30099" applyFont="1" applyFill="1" applyAlignment="1">
      <alignment horizontal="center" vertical="center"/>
    </xf>
    <xf numFmtId="0" fontId="146" fillId="26" borderId="0" xfId="30099" applyFont="1" applyFill="1" applyAlignment="1">
      <alignment horizontal="left" vertical="top" wrapText="1"/>
    </xf>
    <xf numFmtId="0" fontId="146" fillId="0" borderId="57" xfId="30099" applyFont="1" applyBorder="1" applyAlignment="1" applyProtection="1">
      <alignment horizontal="center" vertical="center" wrapText="1"/>
      <protection locked="0"/>
    </xf>
    <xf numFmtId="0" fontId="131" fillId="0" borderId="0" xfId="30099" applyFont="1" applyAlignment="1">
      <alignment horizontal="left"/>
    </xf>
    <xf numFmtId="0" fontId="130" fillId="0" borderId="70" xfId="30099" applyFont="1" applyBorder="1" applyAlignment="1" applyProtection="1">
      <alignment horizontal="center" vertical="center"/>
      <protection locked="0"/>
    </xf>
    <xf numFmtId="0" fontId="129" fillId="26" borderId="0" xfId="30099" applyFont="1" applyFill="1" applyAlignment="1">
      <alignment vertical="top" wrapText="1"/>
    </xf>
    <xf numFmtId="0" fontId="129" fillId="26" borderId="60" xfId="30099" applyFont="1" applyFill="1" applyBorder="1" applyAlignment="1">
      <alignment vertical="top" wrapText="1"/>
    </xf>
    <xf numFmtId="0" fontId="133" fillId="26" borderId="0" xfId="30099" applyFont="1" applyFill="1" applyAlignment="1">
      <alignment horizontal="left" vertical="top"/>
    </xf>
    <xf numFmtId="0" fontId="141" fillId="26" borderId="0" xfId="30099" applyFont="1" applyFill="1" applyAlignment="1">
      <alignment horizontal="left" vertical="top" wrapText="1"/>
    </xf>
    <xf numFmtId="0" fontId="129" fillId="26" borderId="15" xfId="30099" applyFont="1" applyFill="1" applyBorder="1" applyAlignment="1">
      <alignment horizontal="left"/>
    </xf>
    <xf numFmtId="0" fontId="129" fillId="26" borderId="0" xfId="30099" applyFont="1" applyFill="1" applyAlignment="1">
      <alignment horizontal="left"/>
    </xf>
    <xf numFmtId="0" fontId="129" fillId="26" borderId="0" xfId="30099" applyFont="1" applyFill="1" applyAlignment="1">
      <alignment vertical="center" wrapText="1"/>
    </xf>
    <xf numFmtId="0" fontId="141" fillId="26" borderId="0" xfId="30099" applyFont="1" applyFill="1" applyAlignment="1">
      <alignment vertical="center" wrapText="1"/>
    </xf>
    <xf numFmtId="0" fontId="129" fillId="0" borderId="0" xfId="30099" applyFont="1" applyAlignment="1">
      <alignment horizontal="left"/>
    </xf>
    <xf numFmtId="0" fontId="135" fillId="26" borderId="0" xfId="30099" applyFont="1" applyFill="1" applyAlignment="1">
      <alignment horizontal="left"/>
    </xf>
    <xf numFmtId="0" fontId="135" fillId="26" borderId="0" xfId="30099" applyFont="1" applyFill="1" applyAlignment="1">
      <alignment horizontal="right" vertical="center"/>
    </xf>
    <xf numFmtId="0" fontId="135" fillId="26" borderId="0" xfId="30099" applyFont="1" applyFill="1" applyAlignment="1">
      <alignment horizontal="right"/>
    </xf>
    <xf numFmtId="0" fontId="129" fillId="26" borderId="0" xfId="30099" applyFont="1" applyFill="1" applyAlignment="1">
      <alignment horizontal="right" vertical="center" wrapText="1"/>
    </xf>
    <xf numFmtId="14" fontId="129" fillId="26" borderId="0" xfId="30099" applyNumberFormat="1" applyFont="1" applyFill="1" applyAlignment="1">
      <alignment horizontal="left" vertical="center"/>
    </xf>
    <xf numFmtId="0" fontId="150" fillId="79" borderId="0" xfId="30099" applyFont="1" applyFill="1" applyAlignment="1">
      <alignment vertical="center"/>
    </xf>
    <xf numFmtId="0" fontId="150" fillId="79" borderId="0" xfId="30099" applyFont="1" applyFill="1" applyAlignment="1">
      <alignment horizontal="left" vertical="center"/>
    </xf>
    <xf numFmtId="0" fontId="141" fillId="26" borderId="0" xfId="30099" applyFont="1" applyFill="1" applyAlignment="1">
      <alignment horizontal="left" vertical="center" wrapText="1"/>
    </xf>
    <xf numFmtId="0" fontId="141" fillId="26" borderId="60" xfId="30099" applyFont="1" applyFill="1" applyBorder="1" applyAlignment="1">
      <alignment vertical="top" wrapText="1"/>
    </xf>
    <xf numFmtId="0" fontId="129" fillId="26" borderId="40" xfId="30099" applyFont="1" applyFill="1" applyBorder="1" applyAlignment="1">
      <alignment horizontal="left" vertical="top"/>
    </xf>
    <xf numFmtId="0" fontId="129" fillId="26" borderId="41" xfId="30099" applyFont="1" applyFill="1" applyBorder="1" applyAlignment="1">
      <alignment horizontal="left" vertical="top"/>
    </xf>
    <xf numFmtId="0" fontId="129" fillId="26" borderId="41" xfId="30099" applyFont="1" applyFill="1" applyBorder="1" applyAlignment="1">
      <alignment horizontal="right" vertical="center" wrapText="1"/>
    </xf>
    <xf numFmtId="0" fontId="129" fillId="26" borderId="41" xfId="30099" applyFont="1" applyFill="1" applyBorder="1" applyAlignment="1">
      <alignment horizontal="left" vertical="center"/>
    </xf>
    <xf numFmtId="0" fontId="129" fillId="26" borderId="42" xfId="30099" applyFont="1" applyFill="1" applyBorder="1" applyAlignment="1">
      <alignment horizontal="left" vertical="top" wrapText="1"/>
    </xf>
    <xf numFmtId="0" fontId="129" fillId="0" borderId="0" xfId="30099" applyFont="1" applyAlignment="1">
      <alignment horizontal="left" vertical="top" wrapText="1"/>
    </xf>
    <xf numFmtId="2" fontId="129" fillId="0" borderId="0" xfId="30099" applyNumberFormat="1" applyFont="1" applyAlignment="1">
      <alignment horizontal="left" vertical="top"/>
    </xf>
    <xf numFmtId="0" fontId="129" fillId="0" borderId="0" xfId="30099" applyFont="1" applyAlignment="1">
      <alignment horizontal="left" vertical="center" wrapText="1"/>
    </xf>
    <xf numFmtId="14" fontId="129" fillId="0" borderId="0" xfId="30099" applyNumberFormat="1" applyFont="1" applyAlignment="1">
      <alignment horizontal="left" vertical="top"/>
    </xf>
    <xf numFmtId="0" fontId="129"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2" fillId="26" borderId="0" xfId="30099" applyFont="1" applyFill="1" applyAlignment="1">
      <alignment horizontal="center" vertical="center"/>
    </xf>
    <xf numFmtId="164" fontId="135" fillId="26" borderId="0" xfId="30100" applyNumberFormat="1" applyFont="1" applyFill="1" applyBorder="1" applyAlignment="1">
      <alignment vertical="center"/>
    </xf>
    <xf numFmtId="164" fontId="135" fillId="26" borderId="0" xfId="30100" applyNumberFormat="1" applyFont="1" applyFill="1" applyBorder="1" applyAlignment="1">
      <alignment vertical="top"/>
    </xf>
    <xf numFmtId="164" fontId="134" fillId="26" borderId="0" xfId="30100" applyNumberFormat="1" applyFont="1" applyFill="1" applyBorder="1" applyAlignment="1">
      <alignment vertical="center"/>
    </xf>
    <xf numFmtId="164" fontId="133" fillId="26" borderId="0" xfId="30100" applyNumberFormat="1" applyFont="1" applyFill="1" applyBorder="1" applyAlignment="1">
      <alignment vertical="center"/>
    </xf>
    <xf numFmtId="164" fontId="135" fillId="26" borderId="41" xfId="30100" applyNumberFormat="1" applyFont="1" applyFill="1" applyBorder="1" applyAlignment="1">
      <alignment vertical="top"/>
    </xf>
    <xf numFmtId="164" fontId="129" fillId="0" borderId="0" xfId="30100" applyNumberFormat="1" applyFont="1" applyFill="1" applyBorder="1" applyAlignment="1">
      <alignment vertical="top"/>
    </xf>
    <xf numFmtId="49" fontId="135" fillId="26" borderId="0" xfId="30100" applyNumberFormat="1" applyFont="1" applyFill="1" applyBorder="1" applyAlignment="1">
      <alignment horizontal="center" vertical="center"/>
    </xf>
    <xf numFmtId="49" fontId="135" fillId="26" borderId="0" xfId="30100" applyNumberFormat="1" applyFont="1" applyFill="1" applyBorder="1" applyAlignment="1">
      <alignment horizontal="center" vertical="top"/>
    </xf>
    <xf numFmtId="0" fontId="135" fillId="26" borderId="0" xfId="30099" applyFont="1" applyFill="1" applyAlignment="1">
      <alignment horizontal="left" wrapText="1"/>
    </xf>
    <xf numFmtId="0" fontId="135" fillId="26" borderId="0" xfId="30099" applyFont="1" applyFill="1" applyAlignment="1">
      <alignment horizontal="left" vertical="center" wrapText="1"/>
    </xf>
    <xf numFmtId="0" fontId="129" fillId="0" borderId="0" xfId="30099" applyFont="1" applyFill="1" applyAlignment="1">
      <alignment horizontal="left"/>
    </xf>
    <xf numFmtId="0" fontId="131"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7" fillId="79" borderId="41" xfId="30099" applyFont="1" applyFill="1" applyBorder="1" applyAlignment="1">
      <alignment vertical="center"/>
    </xf>
    <xf numFmtId="0" fontId="130"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Border="1" applyAlignment="1">
      <alignment wrapText="1"/>
    </xf>
    <xf numFmtId="0" fontId="40" fillId="0" borderId="0" xfId="0" applyFont="1" applyAlignment="1">
      <alignment horizontal="center"/>
    </xf>
    <xf numFmtId="0" fontId="40" fillId="0" borderId="0" xfId="0" applyFont="1" applyAlignment="1">
      <alignment horizontal="center" wrapText="1"/>
    </xf>
    <xf numFmtId="0" fontId="133" fillId="26" borderId="0" xfId="30099" applyFont="1" applyFill="1" applyAlignment="1">
      <alignment vertical="top" wrapText="1"/>
    </xf>
    <xf numFmtId="0" fontId="154"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9" xfId="0" applyFont="1" applyFill="1" applyBorder="1" applyAlignment="1">
      <alignment vertical="center" wrapText="1"/>
    </xf>
    <xf numFmtId="0" fontId="40" fillId="78" borderId="89" xfId="0" applyFont="1" applyFill="1" applyBorder="1" applyAlignment="1">
      <alignment wrapText="1"/>
    </xf>
    <xf numFmtId="0" fontId="40" fillId="78" borderId="79" xfId="0" applyFont="1" applyFill="1" applyBorder="1" applyAlignment="1">
      <alignment horizontal="center"/>
    </xf>
    <xf numFmtId="0" fontId="40" fillId="78" borderId="86" xfId="0" applyFont="1" applyFill="1" applyBorder="1" applyAlignment="1">
      <alignment wrapText="1"/>
    </xf>
    <xf numFmtId="0" fontId="40" fillId="78" borderId="88" xfId="0" applyFont="1" applyFill="1" applyBorder="1" applyAlignment="1">
      <alignment wrapText="1"/>
    </xf>
    <xf numFmtId="9" fontId="0" fillId="0" borderId="93" xfId="4688" applyFont="1" applyFill="1" applyBorder="1"/>
    <xf numFmtId="9" fontId="40" fillId="0" borderId="87" xfId="0" applyNumberFormat="1" applyFont="1" applyFill="1" applyBorder="1" applyAlignment="1">
      <alignment horizontal="center"/>
    </xf>
    <xf numFmtId="0" fontId="40" fillId="0" borderId="93" xfId="0" applyFont="1" applyFill="1" applyBorder="1" applyAlignment="1">
      <alignment horizontal="center" wrapText="1"/>
    </xf>
    <xf numFmtId="9" fontId="0" fillId="0" borderId="93" xfId="4688" applyNumberFormat="1" applyFont="1" applyFill="1" applyBorder="1" applyAlignment="1">
      <alignment horizontal="center"/>
    </xf>
    <xf numFmtId="37" fontId="0" fillId="0" borderId="93" xfId="0" applyNumberFormat="1" applyFont="1" applyFill="1" applyBorder="1" applyAlignment="1">
      <alignment horizontal="center" wrapText="1"/>
    </xf>
    <xf numFmtId="43" fontId="0" fillId="0" borderId="83" xfId="439" applyNumberFormat="1" applyFont="1" applyBorder="1"/>
    <xf numFmtId="0" fontId="40" fillId="78" borderId="103" xfId="0" applyFont="1" applyFill="1" applyBorder="1" applyAlignment="1">
      <alignment horizontal="center"/>
    </xf>
    <xf numFmtId="0" fontId="40" fillId="78" borderId="97" xfId="0" applyFont="1" applyFill="1" applyBorder="1" applyAlignment="1">
      <alignment horizontal="center"/>
    </xf>
    <xf numFmtId="0" fontId="40" fillId="78" borderId="99" xfId="0" applyFont="1" applyFill="1" applyBorder="1" applyAlignment="1">
      <alignment wrapText="1"/>
    </xf>
    <xf numFmtId="0" fontId="40" fillId="78" borderId="107"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9" fillId="0" borderId="0" xfId="0" applyFont="1" applyAlignment="1">
      <alignment vertical="center"/>
    </xf>
    <xf numFmtId="0" fontId="159" fillId="0" borderId="0" xfId="30099" applyFont="1" applyAlignment="1">
      <alignment horizontal="left" vertical="top"/>
    </xf>
    <xf numFmtId="0" fontId="155" fillId="26" borderId="0" xfId="30099" applyFont="1" applyFill="1" applyAlignment="1">
      <alignment vertical="center" wrapText="1"/>
    </xf>
    <xf numFmtId="0" fontId="160" fillId="26" borderId="0" xfId="30099" applyFont="1" applyFill="1" applyAlignment="1">
      <alignment vertical="center" wrapText="1"/>
    </xf>
    <xf numFmtId="0" fontId="129" fillId="26" borderId="0" xfId="30099" applyFont="1" applyFill="1" applyAlignment="1">
      <alignment horizontal="left" vertical="center" wrapText="1"/>
    </xf>
    <xf numFmtId="0" fontId="161" fillId="0" borderId="0" xfId="0" applyFont="1"/>
    <xf numFmtId="0" fontId="135" fillId="26" borderId="0" xfId="30100" applyNumberFormat="1" applyFont="1" applyFill="1" applyBorder="1" applyAlignment="1">
      <alignment horizontal="center" vertical="center"/>
    </xf>
    <xf numFmtId="164" fontId="135"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1"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0"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1"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59" fillId="0" borderId="45" xfId="439" applyNumberFormat="1" applyFont="1" applyFill="1" applyBorder="1" applyAlignment="1" applyProtection="1">
      <alignment horizontal="center" vertical="center" wrapText="1"/>
    </xf>
    <xf numFmtId="0" fontId="64"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59"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59"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4" fillId="0" borderId="45" xfId="0" applyNumberFormat="1" applyFont="1" applyFill="1" applyBorder="1" applyAlignment="1" applyProtection="1">
      <alignment horizontal="left" vertical="center" wrapText="1"/>
    </xf>
    <xf numFmtId="0" fontId="59"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59"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59" fillId="0" borderId="29" xfId="439" applyNumberFormat="1" applyFont="1" applyFill="1" applyBorder="1" applyAlignment="1" applyProtection="1">
      <alignment horizontal="center" vertical="center" wrapText="1"/>
    </xf>
    <xf numFmtId="164" fontId="59" fillId="0" borderId="23" xfId="439" applyNumberFormat="1" applyFont="1" applyFill="1" applyBorder="1" applyAlignment="1" applyProtection="1">
      <alignment horizontal="center" vertical="center" wrapText="1"/>
    </xf>
    <xf numFmtId="0" fontId="59" fillId="0" borderId="23" xfId="0" applyNumberFormat="1" applyFont="1" applyFill="1" applyBorder="1" applyAlignment="1" applyProtection="1">
      <alignment horizontal="left" vertical="center" wrapText="1"/>
    </xf>
    <xf numFmtId="39" fontId="59" fillId="0" borderId="28" xfId="439" applyNumberFormat="1" applyFont="1" applyFill="1" applyBorder="1" applyAlignment="1" applyProtection="1">
      <alignment horizontal="center" vertical="center" wrapText="1"/>
    </xf>
    <xf numFmtId="164" fontId="59"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9" fillId="34" borderId="23" xfId="0" applyNumberFormat="1" applyFont="1" applyFill="1" applyBorder="1" applyAlignment="1" applyProtection="1">
      <alignment horizontal="left" vertical="center" wrapText="1"/>
    </xf>
    <xf numFmtId="164" fontId="59" fillId="29" borderId="23" xfId="439" applyNumberFormat="1" applyFont="1" applyFill="1" applyBorder="1" applyAlignment="1" applyProtection="1">
      <alignment horizontal="center" vertical="center" wrapText="1"/>
      <protection locked="0"/>
    </xf>
    <xf numFmtId="3" fontId="59" fillId="0" borderId="23" xfId="439" applyNumberFormat="1" applyFont="1" applyFill="1" applyBorder="1" applyAlignment="1" applyProtection="1">
      <alignment horizontal="center" vertical="center" wrapText="1"/>
    </xf>
    <xf numFmtId="3" fontId="59" fillId="34" borderId="23" xfId="439" applyNumberFormat="1" applyFont="1" applyFill="1" applyBorder="1" applyAlignment="1" applyProtection="1">
      <alignment horizontal="center" vertical="center" wrapText="1"/>
    </xf>
    <xf numFmtId="0" fontId="59" fillId="22" borderId="23" xfId="439" applyNumberFormat="1" applyFont="1" applyFill="1" applyBorder="1" applyAlignment="1" applyProtection="1">
      <alignment horizontal="center" vertical="center" wrapText="1"/>
      <protection locked="0"/>
    </xf>
    <xf numFmtId="164" fontId="59"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59" fillId="0" borderId="45" xfId="439" applyNumberFormat="1" applyFont="1" applyFill="1" applyBorder="1" applyAlignment="1" applyProtection="1">
      <alignment horizontal="center" vertical="center" wrapText="1"/>
    </xf>
    <xf numFmtId="0" fontId="59"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9" fillId="78" borderId="25" xfId="0" applyNumberFormat="1" applyFont="1" applyFill="1" applyBorder="1" applyAlignment="1" applyProtection="1">
      <alignment horizontal="left" vertical="center" wrapText="1"/>
    </xf>
    <xf numFmtId="0" fontId="59"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1" fillId="0" borderId="0" xfId="0" applyFont="1" applyAlignment="1" applyProtection="1">
      <alignment wrapText="1"/>
      <protection locked="0"/>
    </xf>
    <xf numFmtId="9" fontId="0" fillId="0" borderId="87" xfId="4688" applyNumberFormat="1" applyFont="1" applyFill="1" applyBorder="1" applyAlignment="1">
      <alignment horizontal="center"/>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100" xfId="4688" applyNumberFormat="1" applyFont="1" applyFill="1" applyBorder="1" applyAlignment="1">
      <alignment horizontal="center"/>
    </xf>
    <xf numFmtId="37" fontId="162" fillId="0" borderId="87" xfId="0" applyNumberFormat="1" applyFont="1" applyFill="1" applyBorder="1" applyAlignment="1">
      <alignment horizontal="center"/>
    </xf>
    <xf numFmtId="164" fontId="51" fillId="0" borderId="0" xfId="0" applyNumberFormat="1" applyFont="1" applyFill="1" applyAlignment="1" applyProtection="1">
      <alignment wrapText="1"/>
    </xf>
    <xf numFmtId="0" fontId="129"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40" fillId="0" borderId="10" xfId="0" applyFont="1" applyFill="1" applyBorder="1" applyAlignment="1" applyProtection="1">
      <alignment wrapText="1"/>
      <protection locked="0"/>
    </xf>
    <xf numFmtId="0" fontId="46" fillId="0" borderId="10" xfId="0" applyFont="1" applyBorder="1" applyProtection="1">
      <protection locked="0"/>
    </xf>
    <xf numFmtId="0" fontId="152" fillId="81" borderId="57" xfId="30099" applyFont="1" applyFill="1" applyBorder="1" applyAlignment="1" applyProtection="1">
      <alignment horizontal="center" vertical="center"/>
      <protection locked="0"/>
    </xf>
    <xf numFmtId="0" fontId="129" fillId="81" borderId="57" xfId="30099" applyFont="1" applyFill="1" applyBorder="1" applyAlignment="1" applyProtection="1">
      <alignment horizontal="center" vertical="center"/>
      <protection locked="0"/>
    </xf>
    <xf numFmtId="14" fontId="129" fillId="81" borderId="57" xfId="30099" applyNumberFormat="1" applyFont="1" applyFill="1" applyBorder="1" applyAlignment="1" applyProtection="1">
      <alignment horizontal="center" vertical="center"/>
      <protection locked="0"/>
    </xf>
    <xf numFmtId="164" fontId="135" fillId="26" borderId="0" xfId="30100" applyNumberFormat="1" applyFont="1" applyFill="1" applyBorder="1" applyAlignment="1"/>
    <xf numFmtId="37" fontId="46" fillId="0" borderId="93" xfId="0" applyNumberFormat="1" applyFont="1" applyFill="1" applyBorder="1" applyAlignment="1">
      <alignment horizontal="center"/>
    </xf>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12"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12"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38" fontId="0" fillId="0" borderId="0" xfId="0" applyNumberFormat="1" applyFont="1" applyFill="1"/>
    <xf numFmtId="40" fontId="0" fillId="0" borderId="0" xfId="0" applyNumberFormat="1" applyFont="1" applyFill="1"/>
    <xf numFmtId="0" fontId="34" fillId="0" borderId="0" xfId="0" applyFont="1" applyProtection="1"/>
    <xf numFmtId="0" fontId="60" fillId="0" borderId="0" xfId="26000" applyFont="1" applyProtection="1"/>
    <xf numFmtId="0" fontId="60"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0" fillId="0" borderId="0" xfId="26000" applyFont="1" applyAlignment="1" applyProtection="1">
      <alignment horizontal="left"/>
    </xf>
    <xf numFmtId="0" fontId="60" fillId="84" borderId="0" xfId="26000" applyFont="1" applyFill="1" applyProtection="1"/>
    <xf numFmtId="0" fontId="46" fillId="84" borderId="0" xfId="26000" applyFont="1" applyFill="1" applyProtection="1"/>
    <xf numFmtId="0" fontId="165" fillId="0" borderId="57" xfId="26000" applyFont="1" applyBorder="1" applyProtection="1"/>
    <xf numFmtId="9" fontId="60"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0"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0" fillId="0" borderId="57" xfId="26000" applyNumberFormat="1" applyFont="1" applyBorder="1" applyProtection="1"/>
    <xf numFmtId="0" fontId="60" fillId="0" borderId="0" xfId="26000" applyFont="1" applyAlignment="1" applyProtection="1">
      <alignment horizontal="center"/>
    </xf>
    <xf numFmtId="0" fontId="60" fillId="0" borderId="71" xfId="26000" applyFont="1" applyBorder="1" applyAlignment="1" applyProtection="1">
      <alignment horizontal="right" vertical="top" wrapText="1"/>
    </xf>
    <xf numFmtId="164" fontId="60" fillId="0" borderId="73" xfId="29549" applyNumberFormat="1" applyFont="1" applyBorder="1" applyProtection="1"/>
    <xf numFmtId="167" fontId="46" fillId="0" borderId="0" xfId="29549" applyNumberFormat="1" applyFont="1" applyProtection="1"/>
    <xf numFmtId="43" fontId="60"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3" fillId="78" borderId="106"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103" xfId="0" applyFont="1" applyFill="1" applyBorder="1" applyAlignment="1">
      <alignment horizontal="center" wrapText="1"/>
    </xf>
    <xf numFmtId="0" fontId="0" fillId="78" borderId="103"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7" xfId="0" applyFont="1" applyFill="1" applyBorder="1" applyAlignment="1">
      <alignment horizontal="center" wrapText="1"/>
    </xf>
    <xf numFmtId="0" fontId="0" fillId="78" borderId="97" xfId="0" applyFont="1" applyFill="1" applyBorder="1"/>
    <xf numFmtId="0" fontId="0" fillId="78" borderId="98"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0" borderId="87" xfId="0" applyFont="1" applyFill="1" applyBorder="1" applyAlignment="1">
      <alignment horizontal="center" wrapText="1"/>
    </xf>
    <xf numFmtId="0" fontId="0" fillId="78" borderId="87" xfId="0" applyFont="1" applyFill="1" applyBorder="1" applyAlignment="1">
      <alignment wrapText="1"/>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173" fillId="78" borderId="83" xfId="0" applyFont="1" applyFill="1" applyBorder="1" applyAlignment="1">
      <alignment wrapText="1"/>
    </xf>
    <xf numFmtId="0" fontId="0" fillId="78" borderId="87" xfId="0" applyFont="1" applyFill="1" applyBorder="1" applyAlignment="1">
      <alignment horizontal="center" wrapText="1"/>
    </xf>
    <xf numFmtId="37" fontId="0" fillId="0" borderId="87" xfId="0" applyNumberFormat="1" applyFont="1" applyFill="1" applyBorder="1" applyAlignment="1">
      <alignment horizontal="center"/>
    </xf>
    <xf numFmtId="0" fontId="0" fillId="0" borderId="10" xfId="0" applyFont="1" applyFill="1" applyBorder="1"/>
    <xf numFmtId="0" fontId="0" fillId="78" borderId="88" xfId="0" applyFont="1" applyFill="1" applyBorder="1" applyAlignment="1">
      <alignment vertical="center" wrapText="1"/>
    </xf>
    <xf numFmtId="0" fontId="0" fillId="0" borderId="10" xfId="0" applyFont="1" applyFill="1" applyBorder="1" applyProtection="1">
      <protection locked="0"/>
    </xf>
    <xf numFmtId="0" fontId="0" fillId="0" borderId="79" xfId="0" applyFont="1" applyBorder="1"/>
    <xf numFmtId="0" fontId="0" fillId="0" borderId="89" xfId="0" applyFont="1" applyBorder="1"/>
    <xf numFmtId="0" fontId="0" fillId="78" borderId="91" xfId="0" applyFont="1" applyFill="1" applyBorder="1"/>
    <xf numFmtId="0" fontId="0" fillId="78" borderId="86" xfId="0" applyFont="1" applyFill="1" applyBorder="1" applyAlignment="1">
      <alignment horizontal="center"/>
    </xf>
    <xf numFmtId="0" fontId="0" fillId="0" borderId="91" xfId="0" applyFont="1" applyFill="1" applyBorder="1"/>
    <xf numFmtId="0" fontId="0" fillId="78" borderId="87" xfId="0" applyFont="1" applyFill="1" applyBorder="1" applyAlignment="1">
      <alignment horizontal="left" vertical="center" wrapText="1"/>
    </xf>
    <xf numFmtId="0" fontId="0" fillId="78" borderId="88" xfId="0" applyFont="1" applyFill="1" applyBorder="1" applyAlignment="1">
      <alignment horizontal="left" vertical="center" wrapText="1"/>
    </xf>
    <xf numFmtId="0" fontId="0" fillId="0" borderId="83" xfId="0" applyFont="1" applyFill="1" applyBorder="1"/>
    <xf numFmtId="37" fontId="0" fillId="0" borderId="93" xfId="0" applyNumberFormat="1" applyFont="1" applyFill="1" applyBorder="1" applyAlignment="1">
      <alignment horizontal="center"/>
    </xf>
    <xf numFmtId="0" fontId="0" fillId="78" borderId="92" xfId="0" applyFont="1" applyFill="1" applyBorder="1"/>
    <xf numFmtId="0" fontId="0" fillId="78" borderId="83" xfId="0" applyFont="1" applyFill="1" applyBorder="1" applyAlignment="1">
      <alignment horizontal="center"/>
    </xf>
    <xf numFmtId="0" fontId="0" fillId="78" borderId="83" xfId="0" applyFont="1" applyFill="1" applyBorder="1"/>
    <xf numFmtId="0" fontId="0" fillId="78" borderId="79" xfId="0" applyFont="1" applyFill="1" applyBorder="1" applyAlignment="1">
      <alignment wrapText="1"/>
    </xf>
    <xf numFmtId="0" fontId="0" fillId="78" borderId="10" xfId="0" applyFont="1" applyFill="1" applyBorder="1" applyAlignment="1">
      <alignment wrapText="1"/>
    </xf>
    <xf numFmtId="0" fontId="0" fillId="0" borderId="89" xfId="0" applyFont="1" applyBorder="1" applyAlignment="1">
      <alignment wrapText="1"/>
    </xf>
    <xf numFmtId="0" fontId="0" fillId="78" borderId="111" xfId="0" applyFont="1" applyFill="1" applyBorder="1"/>
    <xf numFmtId="0" fontId="0" fillId="78" borderId="10" xfId="0" quotePrefix="1" applyFont="1" applyFill="1" applyBorder="1" applyAlignment="1">
      <alignment horizontal="center" wrapText="1"/>
    </xf>
    <xf numFmtId="0" fontId="0" fillId="0" borderId="104"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9" xfId="0" applyFont="1" applyFill="1" applyBorder="1" applyAlignment="1">
      <alignment wrapText="1"/>
    </xf>
    <xf numFmtId="0" fontId="0" fillId="0" borderId="105"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9"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37" fontId="0" fillId="0" borderId="87" xfId="0" applyNumberFormat="1" applyFont="1" applyFill="1" applyBorder="1" applyAlignment="1">
      <alignment horizontal="center" wrapText="1"/>
    </xf>
    <xf numFmtId="0" fontId="0" fillId="0" borderId="10" xfId="0" applyFont="1" applyBorder="1" applyProtection="1">
      <protection locked="0"/>
    </xf>
    <xf numFmtId="0" fontId="40" fillId="0" borderId="79" xfId="0" applyFont="1" applyBorder="1" applyAlignment="1">
      <alignment vertical="center"/>
    </xf>
    <xf numFmtId="0" fontId="173" fillId="78" borderId="110" xfId="0" applyFont="1" applyFill="1" applyBorder="1" applyAlignment="1">
      <alignment wrapText="1"/>
    </xf>
    <xf numFmtId="0" fontId="40" fillId="0" borderId="96"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0" fillId="78" borderId="10" xfId="0" applyFont="1" applyFill="1" applyBorder="1" applyAlignment="1">
      <alignment horizontal="justify" vertical="center"/>
    </xf>
    <xf numFmtId="0" fontId="40" fillId="0" borderId="0" xfId="0" applyFont="1" applyBorder="1" applyAlignment="1">
      <alignment vertical="center" wrapText="1"/>
    </xf>
    <xf numFmtId="0" fontId="163" fillId="73" borderId="98" xfId="0" applyFont="1" applyFill="1" applyBorder="1" applyAlignment="1">
      <alignment horizontal="center" vertical="center" wrapText="1"/>
    </xf>
    <xf numFmtId="0" fontId="40" fillId="78" borderId="12" xfId="0" applyFont="1" applyFill="1" applyBorder="1"/>
    <xf numFmtId="0" fontId="173" fillId="78" borderId="116"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7"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9"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9"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9"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59"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59"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59" fillId="0" borderId="0" xfId="30099" applyNumberFormat="1" applyFont="1" applyFill="1" applyAlignment="1">
      <alignment horizontal="right" vertical="top" indent="1" shrinkToFit="1"/>
    </xf>
    <xf numFmtId="1" fontId="159" fillId="82" borderId="0" xfId="30099" applyNumberFormat="1" applyFont="1" applyFill="1" applyAlignment="1">
      <alignment horizontal="left" vertical="top" indent="3" shrinkToFit="1"/>
    </xf>
    <xf numFmtId="181" fontId="159" fillId="0" borderId="0" xfId="30099" applyNumberFormat="1" applyFont="1" applyAlignment="1">
      <alignment horizontal="right" vertical="top" indent="1" shrinkToFit="1"/>
    </xf>
    <xf numFmtId="1" fontId="159"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59"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59" fillId="82" borderId="0" xfId="30099" applyNumberFormat="1" applyFont="1" applyFill="1" applyAlignment="1">
      <alignment horizontal="center" vertical="top" shrinkToFit="1"/>
    </xf>
    <xf numFmtId="1" fontId="159"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59"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2" fillId="0" borderId="45" xfId="0" applyNumberFormat="1" applyFont="1" applyFill="1" applyBorder="1" applyAlignment="1" applyProtection="1">
      <alignment horizontal="left" vertical="center" wrapText="1"/>
    </xf>
    <xf numFmtId="0" fontId="64"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2"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1" fillId="28" borderId="0" xfId="439" applyNumberFormat="1" applyFont="1" applyFill="1" applyAlignment="1" applyProtection="1">
      <alignment wrapText="1"/>
    </xf>
    <xf numFmtId="41" fontId="72"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1"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1"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1" fillId="0" borderId="0" xfId="0" applyNumberFormat="1" applyFont="1" applyFill="1" applyAlignment="1" applyProtection="1">
      <alignment wrapText="1"/>
    </xf>
    <xf numFmtId="0" fontId="71" fillId="0" borderId="0" xfId="0" applyFont="1" applyFill="1" applyProtection="1"/>
    <xf numFmtId="164" fontId="0" fillId="0" borderId="45" xfId="0" applyNumberFormat="1" applyFont="1" applyFill="1" applyBorder="1" applyAlignment="1" applyProtection="1">
      <alignment wrapText="1"/>
      <protection locked="0"/>
    </xf>
    <xf numFmtId="0" fontId="72" fillId="0" borderId="0" xfId="0" applyFont="1" applyFill="1" applyAlignment="1" applyProtection="1">
      <alignment wrapText="1"/>
    </xf>
    <xf numFmtId="0" fontId="40" fillId="0" borderId="0" xfId="0" applyFont="1" applyFill="1" applyAlignment="1" applyProtection="1">
      <alignment horizontal="center" vertical="center" wrapText="1"/>
    </xf>
    <xf numFmtId="0" fontId="72" fillId="0" borderId="0" xfId="0" applyFont="1" applyFill="1" applyAlignment="1" applyProtection="1">
      <alignment horizontal="left" wrapText="1" indent="2"/>
    </xf>
    <xf numFmtId="0" fontId="0" fillId="0" borderId="0" xfId="0" applyFont="1" applyBorder="1" applyAlignment="1" applyProtection="1">
      <alignment wrapText="1"/>
    </xf>
    <xf numFmtId="41" fontId="72" fillId="0" borderId="45" xfId="0" applyNumberFormat="1" applyFont="1" applyFill="1" applyBorder="1" applyAlignment="1" applyProtection="1">
      <alignment wrapText="1"/>
    </xf>
    <xf numFmtId="41" fontId="72" fillId="0" borderId="45" xfId="0" applyNumberFormat="1" applyFont="1" applyBorder="1" applyAlignment="1">
      <alignment wrapText="1"/>
    </xf>
    <xf numFmtId="41" fontId="72"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2"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2"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41" fontId="72" fillId="29" borderId="0" xfId="439" applyNumberFormat="1" applyFont="1" applyFill="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1" fillId="0" borderId="0" xfId="439" applyNumberFormat="1" applyFont="1" applyFill="1" applyAlignment="1" applyProtection="1">
      <alignment vertical="center" wrapText="1"/>
    </xf>
    <xf numFmtId="39" fontId="71"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1"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1"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4"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4"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4"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0" fillId="0" borderId="0" xfId="30099" applyFont="1" applyFill="1" applyAlignment="1">
      <alignment horizontal="left" vertical="top" wrapText="1"/>
    </xf>
    <xf numFmtId="0" fontId="60"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60"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2"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2" fillId="74" borderId="0" xfId="0" applyFont="1" applyFill="1" applyAlignment="1" applyProtection="1"/>
    <xf numFmtId="0" fontId="40" fillId="74" borderId="0" xfId="0" applyFont="1" applyFill="1" applyAlignment="1" applyProtection="1">
      <alignment horizontal="center" vertical="center" wrapText="1"/>
      <protection locked="0"/>
    </xf>
    <xf numFmtId="0" fontId="72"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4"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1"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2"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4" fillId="74" borderId="0" xfId="0" applyFont="1" applyFill="1" applyAlignment="1" applyProtection="1">
      <alignment vertical="center"/>
    </xf>
    <xf numFmtId="0" fontId="192" fillId="74" borderId="0" xfId="0" applyFont="1" applyFill="1" applyAlignment="1" applyProtection="1">
      <alignment vertical="center"/>
      <protection locked="0"/>
    </xf>
    <xf numFmtId="0" fontId="64"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0" fillId="74" borderId="0" xfId="0" applyFont="1" applyFill="1" applyAlignment="1">
      <alignment vertical="center" wrapText="1"/>
    </xf>
    <xf numFmtId="41" fontId="72" fillId="36" borderId="119" xfId="439" applyNumberFormat="1" applyFont="1" applyFill="1" applyBorder="1" applyAlignment="1">
      <alignment vertical="center" wrapText="1"/>
    </xf>
    <xf numFmtId="41" fontId="72" fillId="36" borderId="0" xfId="439" applyNumberFormat="1" applyFont="1" applyFill="1" applyAlignment="1">
      <alignment vertical="center" wrapText="1"/>
    </xf>
    <xf numFmtId="41" fontId="72" fillId="36" borderId="120"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0"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9" xfId="0" applyNumberFormat="1" applyFont="1" applyFill="1" applyBorder="1" applyAlignment="1">
      <alignment horizontal="center" wrapText="1"/>
    </xf>
    <xf numFmtId="37" fontId="84" fillId="0" borderId="109" xfId="0" applyNumberFormat="1" applyFont="1" applyFill="1" applyBorder="1" applyAlignment="1">
      <alignment horizontal="center" wrapText="1"/>
    </xf>
    <xf numFmtId="41" fontId="72"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100" xfId="0" applyNumberFormat="1" applyFont="1" applyFill="1" applyBorder="1" applyAlignment="1">
      <alignment horizontal="center" wrapText="1"/>
    </xf>
    <xf numFmtId="0" fontId="40" fillId="78" borderId="10" xfId="0" applyFont="1" applyFill="1" applyBorder="1" applyAlignment="1">
      <alignment wrapText="1"/>
    </xf>
    <xf numFmtId="0" fontId="40" fillId="78" borderId="121"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22"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86" xfId="0" applyFont="1" applyFill="1" applyBorder="1" applyAlignment="1">
      <alignment vertical="center" wrapText="1"/>
    </xf>
    <xf numFmtId="0" fontId="0" fillId="78" borderId="86" xfId="0" applyFont="1" applyFill="1" applyBorder="1" applyAlignment="1">
      <alignment vertical="center"/>
    </xf>
    <xf numFmtId="0" fontId="0" fillId="78" borderId="91" xfId="0" applyFont="1" applyFill="1" applyBorder="1" applyAlignment="1">
      <alignment vertical="center"/>
    </xf>
    <xf numFmtId="0" fontId="40" fillId="78" borderId="86" xfId="0" applyFont="1" applyFill="1" applyBorder="1" applyAlignment="1">
      <alignment vertical="center" wrapText="1"/>
    </xf>
    <xf numFmtId="0" fontId="0" fillId="0" borderId="93" xfId="0" applyFont="1" applyFill="1" applyBorder="1" applyAlignment="1">
      <alignment horizontal="center" vertical="center" wrapText="1"/>
    </xf>
    <xf numFmtId="0" fontId="0" fillId="78" borderId="87"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93" xfId="0" applyFont="1" applyFill="1" applyBorder="1" applyAlignment="1">
      <alignment horizontal="center" vertical="center"/>
    </xf>
    <xf numFmtId="0" fontId="0" fillId="0" borderId="87" xfId="0" applyFont="1" applyFill="1" applyBorder="1" applyAlignment="1">
      <alignment horizontal="center" vertical="center"/>
    </xf>
    <xf numFmtId="37" fontId="0" fillId="0" borderId="10" xfId="0" applyNumberFormat="1" applyFont="1" applyBorder="1" applyAlignment="1">
      <alignment vertical="center"/>
    </xf>
    <xf numFmtId="0" fontId="40" fillId="78" borderId="84" xfId="0" applyFont="1" applyFill="1" applyBorder="1" applyAlignment="1">
      <alignment vertical="center" wrapText="1"/>
    </xf>
    <xf numFmtId="0" fontId="0" fillId="78" borderId="102" xfId="0" applyFont="1" applyFill="1" applyBorder="1" applyAlignment="1">
      <alignment vertical="center" wrapText="1"/>
    </xf>
    <xf numFmtId="0" fontId="0" fillId="78" borderId="108" xfId="0" applyFont="1" applyFill="1" applyBorder="1" applyAlignment="1">
      <alignment vertical="center" wrapText="1"/>
    </xf>
    <xf numFmtId="0" fontId="0" fillId="78" borderId="100"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23" xfId="0" applyFont="1" applyFill="1" applyBorder="1" applyAlignment="1">
      <alignment wrapText="1"/>
    </xf>
    <xf numFmtId="9" fontId="0" fillId="78" borderId="85" xfId="4688" applyFont="1" applyFill="1" applyBorder="1" applyAlignment="1">
      <alignment horizontal="center" wrapText="1"/>
    </xf>
    <xf numFmtId="0" fontId="0" fillId="78" borderId="86" xfId="0" applyFont="1" applyFill="1" applyBorder="1" applyAlignment="1">
      <alignment horizontal="center" vertical="center" wrapText="1"/>
    </xf>
    <xf numFmtId="0" fontId="46" fillId="78" borderId="87" xfId="0" applyFont="1" applyFill="1" applyBorder="1" applyAlignment="1">
      <alignment horizontal="center" wrapText="1"/>
    </xf>
    <xf numFmtId="37" fontId="0" fillId="0" borderId="10" xfId="0" applyNumberFormat="1" applyFont="1" applyFill="1" applyBorder="1" applyAlignment="1">
      <alignment vertical="center"/>
    </xf>
    <xf numFmtId="0" fontId="0" fillId="78" borderId="100" xfId="0" applyFont="1" applyFill="1" applyBorder="1" applyAlignment="1">
      <alignment horizontal="center" vertical="center" wrapText="1"/>
    </xf>
    <xf numFmtId="37" fontId="0" fillId="78" borderId="109" xfId="0" applyNumberFormat="1" applyFont="1" applyFill="1" applyBorder="1" applyAlignment="1">
      <alignment horizontal="center" wrapText="1"/>
    </xf>
    <xf numFmtId="0" fontId="0" fillId="78" borderId="104"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24" xfId="0" applyBorder="1"/>
    <xf numFmtId="0" fontId="0" fillId="0" borderId="82" xfId="0" applyBorder="1"/>
    <xf numFmtId="0" fontId="0" fillId="0" borderId="83" xfId="0" applyBorder="1"/>
    <xf numFmtId="0" fontId="0" fillId="0" borderId="127" xfId="0" applyBorder="1"/>
    <xf numFmtId="0" fontId="197"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7"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8"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0"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0"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9"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30"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31" xfId="0" applyFill="1" applyBorder="1" applyAlignment="1">
      <alignment wrapText="1"/>
    </xf>
    <xf numFmtId="0" fontId="60"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32" xfId="0" applyFont="1" applyBorder="1" applyAlignment="1">
      <alignment wrapText="1"/>
    </xf>
    <xf numFmtId="0" fontId="0" fillId="0" borderId="133" xfId="0" applyBorder="1"/>
    <xf numFmtId="0" fontId="0" fillId="0" borderId="133" xfId="0" applyBorder="1" applyAlignment="1">
      <alignment horizontal="center" wrapText="1"/>
    </xf>
    <xf numFmtId="0" fontId="0" fillId="0" borderId="133" xfId="0" applyBorder="1" applyAlignment="1">
      <alignment wrapText="1"/>
    </xf>
    <xf numFmtId="0" fontId="0" fillId="78" borderId="86" xfId="0" applyFill="1" applyBorder="1"/>
    <xf numFmtId="0" fontId="40" fillId="78" borderId="95"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5" xfId="0" applyBorder="1"/>
    <xf numFmtId="0" fontId="40" fillId="0" borderId="0" xfId="0" applyFont="1" applyAlignment="1">
      <alignment wrapText="1"/>
    </xf>
    <xf numFmtId="0" fontId="0" fillId="0" borderId="126"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5" xfId="0" applyBorder="1"/>
    <xf numFmtId="0" fontId="0" fillId="0" borderId="125" xfId="0" applyBorder="1"/>
    <xf numFmtId="0" fontId="0" fillId="78" borderId="71" xfId="0" applyFill="1" applyBorder="1" applyAlignment="1">
      <alignment horizontal="center" vertical="center" wrapText="1"/>
    </xf>
    <xf numFmtId="0" fontId="60" fillId="78" borderId="57" xfId="0" applyFont="1" applyFill="1" applyBorder="1" applyAlignment="1">
      <alignment horizontal="center" vertical="center" wrapText="1"/>
    </xf>
    <xf numFmtId="0" fontId="60"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6"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5"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6" xfId="0" applyFont="1" applyFill="1" applyBorder="1" applyAlignment="1">
      <alignment vertical="center" wrapText="1"/>
    </xf>
    <xf numFmtId="0" fontId="0" fillId="78" borderId="128"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24" xfId="4688" applyNumberFormat="1" applyFont="1" applyBorder="1"/>
    <xf numFmtId="9" fontId="0" fillId="0" borderId="57" xfId="0" applyNumberFormat="1" applyBorder="1" applyAlignment="1">
      <alignment horizontal="center" vertical="center" wrapText="1"/>
    </xf>
    <xf numFmtId="0" fontId="0" fillId="0" borderId="57" xfId="0" applyNumberFormat="1" applyBorder="1" applyAlignment="1">
      <alignment horizontal="center"/>
    </xf>
    <xf numFmtId="0" fontId="0" fillId="0" borderId="57" xfId="4688" applyNumberFormat="1" applyFont="1" applyFill="1" applyBorder="1" applyAlignment="1">
      <alignment horizontal="center"/>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0" fontId="198" fillId="0" borderId="62" xfId="0" applyFont="1" applyBorder="1" applyAlignment="1">
      <alignment vertical="center" wrapText="1"/>
    </xf>
    <xf numFmtId="0" fontId="0" fillId="0" borderId="61" xfId="0" applyBorder="1" applyAlignment="1">
      <alignment horizontal="center"/>
    </xf>
    <xf numFmtId="0" fontId="1" fillId="0" borderId="62" xfId="0" applyFont="1" applyBorder="1" applyAlignment="1">
      <alignment vertical="center" wrapText="1"/>
    </xf>
    <xf numFmtId="38" fontId="0" fillId="0" borderId="0" xfId="0" applyNumberFormat="1"/>
    <xf numFmtId="40"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9" fillId="0" borderId="0" xfId="440" applyNumberFormat="1" applyFont="1" applyFill="1" applyAlignment="1" applyProtection="1">
      <alignment horizontal="right" vertical="center"/>
    </xf>
    <xf numFmtId="4" fontId="0" fillId="0" borderId="0" xfId="0" applyNumberFormat="1"/>
    <xf numFmtId="0" fontId="200" fillId="0" borderId="0" xfId="659" applyFont="1"/>
    <xf numFmtId="0" fontId="35" fillId="0" borderId="0" xfId="659"/>
    <xf numFmtId="0" fontId="114" fillId="0" borderId="0" xfId="0" applyFont="1"/>
    <xf numFmtId="172" fontId="0" fillId="0" borderId="0" xfId="439" applyNumberFormat="1" applyFont="1"/>
    <xf numFmtId="164" fontId="35" fillId="0" borderId="0" xfId="659" applyNumberFormat="1"/>
    <xf numFmtId="37" fontId="0" fillId="0" borderId="0" xfId="439" applyNumberFormat="1" applyFont="1"/>
    <xf numFmtId="0" fontId="201" fillId="0" borderId="0" xfId="841" applyFont="1" applyFill="1" applyAlignment="1">
      <alignment horizontal="left" vertical="center" wrapText="1"/>
    </xf>
    <xf numFmtId="0" fontId="202" fillId="0" borderId="0" xfId="0" applyFont="1" applyFill="1" applyAlignment="1">
      <alignment horizontal="center"/>
    </xf>
    <xf numFmtId="0" fontId="46" fillId="0" borderId="0" xfId="0" applyFont="1" applyFill="1" applyAlignment="1">
      <alignment wrapText="1"/>
    </xf>
    <xf numFmtId="0" fontId="46" fillId="0" borderId="0" xfId="0" applyFont="1" applyFill="1"/>
    <xf numFmtId="1" fontId="46" fillId="0" borderId="0" xfId="0" applyNumberFormat="1" applyFont="1" applyFill="1" applyAlignment="1">
      <alignment horizontal="center" vertical="center" wrapText="1"/>
    </xf>
    <xf numFmtId="164" fontId="46" fillId="0" borderId="0" xfId="439" applyNumberFormat="1" applyFont="1" applyFill="1"/>
    <xf numFmtId="1" fontId="202" fillId="0" borderId="0" xfId="0" applyNumberFormat="1" applyFont="1" applyFill="1" applyAlignment="1">
      <alignment horizontal="center"/>
    </xf>
    <xf numFmtId="1" fontId="203" fillId="0" borderId="0" xfId="0" applyNumberFormat="1" applyFont="1" applyFill="1" applyAlignment="1">
      <alignment horizontal="center"/>
    </xf>
    <xf numFmtId="1" fontId="46" fillId="0" borderId="0" xfId="0" applyNumberFormat="1" applyFont="1" applyFill="1" applyAlignment="1">
      <alignment horizontal="center" vertical="center"/>
    </xf>
    <xf numFmtId="0" fontId="203" fillId="0" borderId="0" xfId="0" applyFont="1" applyFill="1" applyAlignment="1">
      <alignment horizontal="center"/>
    </xf>
    <xf numFmtId="0" fontId="46" fillId="0" borderId="0" xfId="0" applyFont="1" applyFill="1" applyAlignment="1">
      <alignment horizontal="center" wrapText="1"/>
    </xf>
    <xf numFmtId="1" fontId="46" fillId="0" borderId="0" xfId="0" applyNumberFormat="1" applyFont="1" applyFill="1"/>
    <xf numFmtId="0" fontId="46" fillId="0" borderId="0" xfId="0" applyFont="1" applyFill="1" applyAlignment="1">
      <alignment horizontal="left" vertical="center" wrapText="1"/>
    </xf>
    <xf numFmtId="38" fontId="46" fillId="0" borderId="0" xfId="0" applyNumberFormat="1" applyFont="1" applyFill="1" applyAlignment="1">
      <alignment horizontal="center" vertical="center"/>
    </xf>
    <xf numFmtId="38" fontId="46" fillId="0" borderId="0" xfId="439" applyNumberFormat="1" applyFont="1" applyFill="1" applyAlignment="1" applyProtection="1">
      <alignment horizontal="center" vertical="center"/>
    </xf>
    <xf numFmtId="38" fontId="203" fillId="0" borderId="0" xfId="0" applyNumberFormat="1" applyFont="1" applyFill="1" applyAlignment="1">
      <alignment horizontal="center"/>
    </xf>
    <xf numFmtId="0" fontId="46" fillId="0" borderId="0" xfId="683" applyFont="1" applyFill="1" applyAlignment="1" applyProtection="1">
      <alignment vertical="center" wrapText="1"/>
      <protection locked="0"/>
    </xf>
    <xf numFmtId="0" fontId="46" fillId="0" borderId="0" xfId="0" applyFont="1" applyFill="1" applyAlignment="1">
      <alignment horizontal="center"/>
    </xf>
    <xf numFmtId="40" fontId="46" fillId="0" borderId="0" xfId="0" applyNumberFormat="1" applyFont="1" applyFill="1" applyAlignment="1">
      <alignment horizontal="center" vertical="center"/>
    </xf>
    <xf numFmtId="40" fontId="46" fillId="0" borderId="0" xfId="439" applyNumberFormat="1" applyFont="1" applyFill="1" applyAlignment="1" applyProtection="1">
      <alignment horizontal="center" vertical="center"/>
    </xf>
    <xf numFmtId="40" fontId="203" fillId="0" borderId="0" xfId="0" applyNumberFormat="1" applyFont="1" applyFill="1" applyAlignment="1">
      <alignment horizontal="center"/>
    </xf>
    <xf numFmtId="172" fontId="46" fillId="0" borderId="0" xfId="439" applyNumberFormat="1" applyFont="1" applyFill="1"/>
    <xf numFmtId="184" fontId="46" fillId="0" borderId="0" xfId="439" applyNumberFormat="1" applyFont="1" applyFill="1"/>
    <xf numFmtId="1" fontId="203" fillId="0" borderId="0" xfId="1531" applyNumberFormat="1" applyFont="1" applyFill="1"/>
    <xf numFmtId="0" fontId="46" fillId="0" borderId="0" xfId="683" applyFont="1" applyFill="1" applyAlignment="1">
      <alignment vertical="center" wrapText="1"/>
    </xf>
    <xf numFmtId="0" fontId="203" fillId="0" borderId="0" xfId="1531" applyFont="1" applyFill="1"/>
    <xf numFmtId="0" fontId="46" fillId="0" borderId="0" xfId="683" applyFont="1" applyFill="1" applyAlignment="1">
      <alignment wrapText="1"/>
    </xf>
    <xf numFmtId="0" fontId="203" fillId="0" borderId="0" xfId="720" applyFont="1" applyFill="1" applyAlignment="1">
      <alignment vertical="center" wrapText="1"/>
    </xf>
    <xf numFmtId="0" fontId="203" fillId="0" borderId="23" xfId="720" applyFont="1" applyFill="1" applyBorder="1" applyAlignment="1">
      <alignment vertical="center" wrapText="1"/>
    </xf>
    <xf numFmtId="0" fontId="202" fillId="0" borderId="0" xfId="0" applyFont="1" applyFill="1"/>
    <xf numFmtId="0" fontId="202" fillId="0" borderId="0" xfId="683" applyFont="1" applyFill="1" applyAlignment="1">
      <alignment horizontal="left" vertical="center" wrapText="1"/>
    </xf>
    <xf numFmtId="0" fontId="46" fillId="0" borderId="0" xfId="3120" applyFont="1" applyFill="1" applyAlignment="1">
      <alignment horizontal="center" vertical="center"/>
    </xf>
    <xf numFmtId="0" fontId="202" fillId="0" borderId="0" xfId="683" applyFont="1" applyFill="1" applyAlignment="1">
      <alignment horizontal="right" vertical="center"/>
    </xf>
    <xf numFmtId="0" fontId="46" fillId="0" borderId="0" xfId="683" applyFont="1" applyFill="1"/>
    <xf numFmtId="1" fontId="46" fillId="0" borderId="0" xfId="0" applyNumberFormat="1" applyFont="1" applyFill="1" applyAlignment="1">
      <alignment horizontal="right"/>
    </xf>
    <xf numFmtId="43" fontId="46" fillId="0" borderId="0" xfId="439" applyNumberFormat="1" applyFont="1" applyFill="1"/>
    <xf numFmtId="0" fontId="46" fillId="0" borderId="0" xfId="0" applyFont="1" applyFill="1" applyAlignment="1">
      <alignment horizontal="right"/>
    </xf>
    <xf numFmtId="0" fontId="46" fillId="0" borderId="0" xfId="0" applyFont="1" applyFill="1" applyAlignment="1">
      <alignment horizontal="center" vertical="center"/>
    </xf>
    <xf numFmtId="0" fontId="46" fillId="0" borderId="0" xfId="439" applyNumberFormat="1" applyFont="1" applyFill="1" applyAlignment="1" applyProtection="1">
      <alignment horizontal="center" vertical="center"/>
    </xf>
    <xf numFmtId="0" fontId="202" fillId="0" borderId="0" xfId="3525" applyFont="1" applyFill="1" applyAlignment="1">
      <alignment horizontal="center"/>
    </xf>
    <xf numFmtId="0" fontId="46" fillId="0" borderId="0" xfId="680" applyFont="1" applyFill="1"/>
    <xf numFmtId="0" fontId="202" fillId="0" borderId="0" xfId="683" applyFont="1" applyFill="1" applyAlignment="1">
      <alignment vertical="center" wrapText="1"/>
    </xf>
    <xf numFmtId="0" fontId="60" fillId="0" borderId="0" xfId="0" applyFont="1" applyFill="1" applyAlignment="1">
      <alignment horizontal="left" vertical="center" wrapText="1"/>
    </xf>
    <xf numFmtId="0" fontId="203" fillId="0" borderId="0" xfId="720" applyFont="1" applyFill="1"/>
    <xf numFmtId="0" fontId="46" fillId="0" borderId="23" xfId="679" applyFont="1" applyFill="1" applyBorder="1" applyAlignment="1">
      <alignment horizontal="left" vertical="center" wrapText="1"/>
    </xf>
    <xf numFmtId="0" fontId="46" fillId="0" borderId="23" xfId="628" applyFont="1" applyFill="1" applyBorder="1" applyAlignment="1">
      <alignment vertical="center" wrapText="1"/>
    </xf>
    <xf numFmtId="0" fontId="46" fillId="0" borderId="23" xfId="628" applyFont="1" applyFill="1" applyBorder="1" applyAlignment="1">
      <alignment horizontal="left" vertical="center" wrapText="1"/>
    </xf>
    <xf numFmtId="0" fontId="46" fillId="0" borderId="0" xfId="0" applyFont="1" applyFill="1" applyAlignment="1">
      <alignment vertical="center" wrapText="1"/>
    </xf>
    <xf numFmtId="0" fontId="46" fillId="0" borderId="0" xfId="2858" applyFont="1" applyFill="1" applyAlignment="1">
      <alignment horizontal="left" vertical="center" wrapText="1"/>
    </xf>
    <xf numFmtId="2" fontId="46" fillId="0" borderId="0" xfId="0" applyNumberFormat="1" applyFont="1" applyFill="1" applyAlignment="1">
      <alignment horizontal="center" vertical="center"/>
    </xf>
    <xf numFmtId="2" fontId="46" fillId="0" borderId="0" xfId="439" applyNumberFormat="1" applyFont="1" applyFill="1" applyAlignment="1" applyProtection="1">
      <alignment horizontal="center" vertical="center"/>
    </xf>
    <xf numFmtId="2" fontId="203" fillId="0" borderId="0" xfId="0" applyNumberFormat="1" applyFont="1" applyFill="1" applyAlignment="1">
      <alignment horizontal="center"/>
    </xf>
    <xf numFmtId="0" fontId="202" fillId="0" borderId="0" xfId="0" applyFont="1" applyFill="1" applyAlignment="1">
      <alignment horizontal="left" vertical="center" wrapText="1"/>
    </xf>
    <xf numFmtId="0" fontId="46" fillId="0" borderId="0" xfId="31722" applyFont="1" applyFill="1"/>
    <xf numFmtId="0" fontId="46" fillId="0" borderId="0" xfId="31722" applyFont="1" applyFill="1" applyAlignment="1">
      <alignment wrapText="1"/>
    </xf>
    <xf numFmtId="0" fontId="202" fillId="0" borderId="0" xfId="3627" applyFont="1" applyFill="1" applyAlignment="1">
      <alignment horizontal="left"/>
    </xf>
    <xf numFmtId="0" fontId="202" fillId="0" borderId="0" xfId="3627" applyFont="1" applyFill="1"/>
    <xf numFmtId="0" fontId="202" fillId="0" borderId="0" xfId="3627" applyFont="1" applyFill="1" applyAlignment="1">
      <alignment horizontal="right" vertical="center" wrapText="1"/>
    </xf>
    <xf numFmtId="38" fontId="46" fillId="0" borderId="0" xfId="0" applyNumberFormat="1" applyFont="1" applyFill="1"/>
    <xf numFmtId="0" fontId="202" fillId="0" borderId="0" xfId="3627" applyFont="1" applyFill="1" applyAlignment="1">
      <alignment wrapText="1"/>
    </xf>
    <xf numFmtId="38" fontId="46" fillId="0" borderId="0" xfId="0" applyNumberFormat="1" applyFont="1" applyFill="1" applyAlignment="1">
      <alignment horizontal="right" vertical="center" wrapText="1"/>
    </xf>
    <xf numFmtId="0" fontId="203" fillId="0" borderId="0" xfId="3627" applyFont="1" applyFill="1"/>
    <xf numFmtId="0" fontId="60" fillId="0" borderId="0" xfId="0" applyFont="1" applyFill="1"/>
    <xf numFmtId="10" fontId="46" fillId="0" borderId="0" xfId="0" applyNumberFormat="1" applyFont="1" applyFill="1"/>
    <xf numFmtId="164" fontId="203" fillId="0" borderId="0" xfId="3627" applyNumberFormat="1" applyFont="1" applyFill="1"/>
    <xf numFmtId="0" fontId="202" fillId="0" borderId="0" xfId="3627" applyFont="1" applyFill="1" applyAlignment="1">
      <alignment horizontal="center"/>
    </xf>
    <xf numFmtId="0" fontId="202" fillId="0" borderId="0" xfId="3627" applyFont="1" applyFill="1" applyAlignment="1">
      <alignment horizontal="left" vertical="center" wrapText="1"/>
    </xf>
    <xf numFmtId="0" fontId="46" fillId="0" borderId="137" xfId="0" applyFont="1" applyFill="1" applyBorder="1" applyAlignment="1">
      <alignment horizontal="center" vertical="center" wrapText="1"/>
    </xf>
    <xf numFmtId="164" fontId="46" fillId="0" borderId="0" xfId="439" applyNumberFormat="1" applyFont="1" applyFill="1" applyAlignment="1" applyProtection="1">
      <alignment horizontal="center" vertical="center"/>
    </xf>
    <xf numFmtId="0" fontId="202" fillId="0" borderId="15" xfId="0" applyFont="1" applyFill="1" applyBorder="1" applyAlignment="1">
      <alignment vertical="center"/>
    </xf>
    <xf numFmtId="0" fontId="46" fillId="0" borderId="138" xfId="0" applyFont="1" applyFill="1" applyBorder="1" applyAlignment="1">
      <alignment horizontal="center" vertical="center" wrapText="1"/>
    </xf>
    <xf numFmtId="0" fontId="60" fillId="0" borderId="99" xfId="0" applyFont="1" applyFill="1" applyBorder="1" applyAlignment="1">
      <alignment vertical="center"/>
    </xf>
    <xf numFmtId="0" fontId="46" fillId="0" borderId="87" xfId="0" applyFont="1" applyFill="1" applyBorder="1" applyAlignment="1">
      <alignment wrapText="1"/>
    </xf>
    <xf numFmtId="40" fontId="46" fillId="0" borderId="0" xfId="0" applyNumberFormat="1" applyFont="1" applyFill="1"/>
    <xf numFmtId="4" fontId="46" fillId="0" borderId="0" xfId="0" applyNumberFormat="1" applyFont="1" applyFill="1"/>
    <xf numFmtId="0" fontId="46" fillId="0" borderId="0" xfId="31723" applyFont="1" applyFill="1" applyAlignment="1">
      <alignment horizontal="center" wrapText="1"/>
    </xf>
    <xf numFmtId="0" fontId="202" fillId="0" borderId="0" xfId="31723" applyFont="1" applyFill="1" applyAlignment="1">
      <alignment horizontal="center"/>
    </xf>
    <xf numFmtId="43" fontId="0" fillId="0" borderId="0" xfId="0" applyNumberFormat="1"/>
    <xf numFmtId="43" fontId="0" fillId="0" borderId="0" xfId="439" applyFont="1" applyFill="1"/>
    <xf numFmtId="10" fontId="0" fillId="0" borderId="0" xfId="4688" applyNumberFormat="1" applyFont="1" applyFill="1"/>
    <xf numFmtId="0" fontId="0" fillId="36" borderId="0" xfId="0" applyFill="1"/>
    <xf numFmtId="0" fontId="25" fillId="36" borderId="0" xfId="659" applyFont="1" applyFill="1" applyAlignment="1">
      <alignment horizontal="left" vertical="center" wrapText="1"/>
    </xf>
    <xf numFmtId="43" fontId="0" fillId="0" borderId="0" xfId="0" applyNumberFormat="1" applyFont="1" applyFill="1"/>
    <xf numFmtId="173" fontId="46" fillId="22" borderId="0" xfId="439" applyNumberFormat="1" applyFont="1" applyFill="1" applyAlignment="1" applyProtection="1">
      <alignment horizontal="center" vertical="center" wrapText="1"/>
    </xf>
    <xf numFmtId="164" fontId="46" fillId="22" borderId="0" xfId="439" applyNumberFormat="1" applyFont="1" applyFill="1" applyAlignment="1" applyProtection="1">
      <alignment horizontal="center" vertical="center" wrapText="1"/>
    </xf>
    <xf numFmtId="0" fontId="0" fillId="0" borderId="0" xfId="0" applyAlignment="1"/>
    <xf numFmtId="0" fontId="0" fillId="0" borderId="0" xfId="0" applyFont="1" applyAlignment="1" applyProtection="1"/>
    <xf numFmtId="164" fontId="51" fillId="0" borderId="0" xfId="0" applyNumberFormat="1" applyFont="1" applyAlignment="1">
      <alignment wrapText="1"/>
    </xf>
    <xf numFmtId="10" fontId="0" fillId="0" borderId="57" xfId="0" applyNumberFormat="1" applyBorder="1" applyAlignment="1">
      <alignment horizontal="center" wrapText="1"/>
    </xf>
    <xf numFmtId="0" fontId="40" fillId="78" borderId="86" xfId="0" applyFont="1" applyFill="1" applyBorder="1" applyAlignment="1">
      <alignment horizontal="left"/>
    </xf>
    <xf numFmtId="0" fontId="0" fillId="78" borderId="139" xfId="0" applyFill="1" applyBorder="1"/>
    <xf numFmtId="0" fontId="204" fillId="77" borderId="57" xfId="0" applyFont="1" applyFill="1" applyBorder="1" applyAlignment="1">
      <alignment horizontal="center" vertical="center" wrapText="1"/>
    </xf>
    <xf numFmtId="0" fontId="195" fillId="0" borderId="0" xfId="0" applyFont="1"/>
    <xf numFmtId="0" fontId="205" fillId="73" borderId="0" xfId="0" applyFont="1" applyFill="1" applyAlignment="1">
      <alignment horizontal="justify" vertical="center"/>
    </xf>
    <xf numFmtId="0" fontId="205" fillId="73" borderId="0" xfId="0" applyFont="1" applyFill="1" applyAlignment="1">
      <alignment vertical="center"/>
    </xf>
    <xf numFmtId="0" fontId="0" fillId="0" borderId="0" xfId="0" applyAlignment="1">
      <alignment vertical="center"/>
    </xf>
    <xf numFmtId="0" fontId="205" fillId="73" borderId="0" xfId="0" applyFont="1" applyFill="1" applyAlignment="1">
      <alignment vertical="center" wrapText="1"/>
    </xf>
    <xf numFmtId="0" fontId="209" fillId="73" borderId="0" xfId="611" applyFont="1" applyFill="1" applyAlignment="1">
      <alignment vertical="center"/>
    </xf>
    <xf numFmtId="0" fontId="210" fillId="73" borderId="0" xfId="0" applyFont="1" applyFill="1" applyAlignment="1">
      <alignment vertical="center"/>
    </xf>
    <xf numFmtId="0" fontId="211" fillId="73" borderId="0" xfId="611" applyFont="1" applyFill="1" applyAlignment="1" applyProtection="1">
      <alignment vertical="center"/>
      <protection locked="0"/>
    </xf>
    <xf numFmtId="0" fontId="210" fillId="73" borderId="0" xfId="0" applyFont="1" applyFill="1"/>
    <xf numFmtId="0" fontId="211" fillId="73" borderId="0" xfId="611" applyFont="1" applyFill="1" applyProtection="1">
      <protection locked="0"/>
    </xf>
    <xf numFmtId="0" fontId="121" fillId="73" borderId="0" xfId="30098" applyFont="1" applyFill="1" applyAlignment="1">
      <alignment horizontal="left" vertical="center" wrapText="1" indent="1"/>
    </xf>
    <xf numFmtId="0" fontId="121" fillId="73" borderId="0" xfId="30098" quotePrefix="1" applyFont="1" applyFill="1" applyAlignment="1">
      <alignment horizontal="left" vertical="center" wrapText="1" indent="1"/>
    </xf>
    <xf numFmtId="0" fontId="214" fillId="73" borderId="0" xfId="30098" applyFont="1" applyFill="1" applyAlignment="1">
      <alignment vertical="center" wrapText="1"/>
    </xf>
    <xf numFmtId="0" fontId="36" fillId="0" borderId="0" xfId="611"/>
    <xf numFmtId="0" fontId="205" fillId="73" borderId="0" xfId="30098" applyFont="1" applyFill="1" applyAlignment="1">
      <alignment vertical="center" wrapText="1"/>
    </xf>
    <xf numFmtId="0" fontId="211" fillId="73" borderId="0" xfId="611" applyFont="1" applyFill="1" applyAlignment="1">
      <alignment vertical="center"/>
    </xf>
    <xf numFmtId="0" fontId="133" fillId="78" borderId="0" xfId="30099" applyFont="1" applyFill="1" applyAlignment="1">
      <alignment vertical="top"/>
    </xf>
    <xf numFmtId="0" fontId="134" fillId="78" borderId="0" xfId="30099" applyFont="1" applyFill="1" applyAlignment="1">
      <alignment vertical="top"/>
    </xf>
    <xf numFmtId="0" fontId="134" fillId="78" borderId="60" xfId="30099" applyFont="1" applyFill="1" applyBorder="1" applyAlignment="1">
      <alignment vertical="top"/>
    </xf>
    <xf numFmtId="0" fontId="216" fillId="78" borderId="15" xfId="30099" applyFont="1" applyFill="1" applyBorder="1" applyAlignment="1">
      <alignment vertical="center"/>
    </xf>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59" fillId="34" borderId="29" xfId="439" applyNumberFormat="1" applyFont="1" applyFill="1" applyBorder="1" applyAlignment="1" applyProtection="1">
      <alignment horizontal="center" vertical="center" wrapText="1"/>
    </xf>
    <xf numFmtId="14" fontId="0" fillId="0" borderId="0" xfId="0" applyNumberFormat="1" applyFont="1" applyProtection="1"/>
    <xf numFmtId="0" fontId="131" fillId="36" borderId="0" xfId="30099" applyFont="1" applyFill="1" applyAlignment="1">
      <alignment horizontal="left" vertical="top"/>
    </xf>
    <xf numFmtId="0" fontId="146" fillId="26" borderId="0" xfId="30099" applyFont="1" applyFill="1" applyAlignment="1">
      <alignment horizontal="right" vertical="center" wrapText="1"/>
    </xf>
    <xf numFmtId="0" fontId="135" fillId="0" borderId="0" xfId="30099" applyFont="1" applyAlignment="1">
      <alignment horizontal="left" vertical="top"/>
    </xf>
    <xf numFmtId="0" fontId="135" fillId="0" borderId="0" xfId="30099" applyFont="1" applyAlignment="1">
      <alignment vertical="top"/>
    </xf>
    <xf numFmtId="0" fontId="135" fillId="0" borderId="0" xfId="30099" applyFont="1" applyAlignment="1">
      <alignment horizontal="left"/>
    </xf>
    <xf numFmtId="0" fontId="135" fillId="0" borderId="0" xfId="30099" applyFont="1" applyFill="1" applyAlignment="1">
      <alignment horizontal="left"/>
    </xf>
    <xf numFmtId="0" fontId="155" fillId="26" borderId="0" xfId="30099" applyFont="1" applyFill="1" applyAlignment="1">
      <alignment horizontal="left" vertical="center" wrapText="1"/>
    </xf>
    <xf numFmtId="37" fontId="0" fillId="0" borderId="29" xfId="439" applyNumberFormat="1" applyFont="1" applyBorder="1" applyAlignment="1" applyProtection="1">
      <alignment horizontal="right" vertical="center"/>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0" fillId="74" borderId="118"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29" fillId="0" borderId="67" xfId="30099" applyFont="1" applyBorder="1" applyAlignment="1" applyProtection="1">
      <alignment horizontal="left" vertical="center"/>
      <protection locked="0"/>
    </xf>
    <xf numFmtId="0" fontId="129" fillId="0" borderId="68" xfId="30099" applyFont="1" applyBorder="1" applyAlignment="1" applyProtection="1">
      <alignment horizontal="left" vertical="center"/>
      <protection locked="0"/>
    </xf>
    <xf numFmtId="0" fontId="129" fillId="0" borderId="69" xfId="30099" applyFont="1" applyBorder="1" applyAlignment="1" applyProtection="1">
      <alignment horizontal="left" vertical="center"/>
      <protection locked="0"/>
    </xf>
    <xf numFmtId="0" fontId="149" fillId="26" borderId="0" xfId="30099" applyFont="1" applyFill="1" applyAlignment="1">
      <alignment horizontal="right" vertical="center" wrapText="1"/>
    </xf>
    <xf numFmtId="0" fontId="151" fillId="26" borderId="0" xfId="30099" applyFont="1" applyFill="1" applyAlignment="1">
      <alignment horizontal="center" vertical="center" wrapText="1"/>
    </xf>
    <xf numFmtId="0" fontId="141" fillId="26" borderId="0" xfId="30099" applyFont="1" applyFill="1" applyAlignment="1">
      <alignment horizontal="left" vertical="center" wrapText="1"/>
    </xf>
    <xf numFmtId="0" fontId="129" fillId="26" borderId="0" xfId="30099" applyFont="1" applyFill="1" applyAlignment="1">
      <alignment horizontal="left" vertical="center" wrapText="1"/>
    </xf>
    <xf numFmtId="0" fontId="129" fillId="26" borderId="60" xfId="30099" applyFont="1" applyFill="1" applyBorder="1" applyAlignment="1">
      <alignment horizontal="left" vertical="center" wrapText="1"/>
    </xf>
    <xf numFmtId="0" fontId="135" fillId="26" borderId="0" xfId="30099" applyFont="1" applyFill="1" applyAlignment="1">
      <alignment horizontal="left" wrapText="1"/>
    </xf>
    <xf numFmtId="0" fontId="135" fillId="26" borderId="60" xfId="30099" applyFont="1" applyFill="1" applyBorder="1" applyAlignment="1">
      <alignment horizontal="left" wrapText="1"/>
    </xf>
    <xf numFmtId="0" fontId="135" fillId="26" borderId="0" xfId="30099" applyFont="1" applyFill="1" applyBorder="1" applyAlignment="1">
      <alignment horizontal="left" wrapText="1"/>
    </xf>
    <xf numFmtId="0" fontId="129" fillId="26" borderId="0" xfId="30099" applyFont="1" applyFill="1" applyAlignment="1">
      <alignment horizontal="left" vertical="top" wrapText="1"/>
    </xf>
    <xf numFmtId="0" fontId="129" fillId="26" borderId="72" xfId="30099" applyFont="1" applyFill="1" applyBorder="1" applyAlignment="1">
      <alignment horizontal="left" vertical="center" wrapText="1"/>
    </xf>
    <xf numFmtId="0" fontId="145" fillId="26" borderId="41" xfId="30099" applyFont="1" applyFill="1" applyBorder="1" applyAlignment="1">
      <alignment horizontal="center" vertical="center" wrapText="1"/>
    </xf>
    <xf numFmtId="164" fontId="136" fillId="79" borderId="13" xfId="30100" applyNumberFormat="1" applyFont="1" applyFill="1" applyBorder="1" applyAlignment="1">
      <alignment horizontal="center" vertical="center" wrapText="1"/>
    </xf>
    <xf numFmtId="164" fontId="136" fillId="79" borderId="16" xfId="30100" applyNumberFormat="1" applyFont="1" applyFill="1" applyBorder="1" applyAlignment="1">
      <alignment horizontal="center" vertical="center" wrapText="1"/>
    </xf>
    <xf numFmtId="164" fontId="136" fillId="79" borderId="11" xfId="30100" applyNumberFormat="1" applyFont="1" applyFill="1" applyBorder="1" applyAlignment="1">
      <alignment horizontal="center" vertical="center" wrapText="1"/>
    </xf>
    <xf numFmtId="0" fontId="146" fillId="0" borderId="67" xfId="30099" applyFont="1" applyBorder="1" applyAlignment="1" applyProtection="1">
      <alignment horizontal="left" vertical="center"/>
      <protection locked="0"/>
    </xf>
    <xf numFmtId="0" fontId="146" fillId="0" borderId="68" xfId="30099" applyFont="1" applyBorder="1" applyAlignment="1" applyProtection="1">
      <alignment horizontal="left" vertical="center"/>
      <protection locked="0"/>
    </xf>
    <xf numFmtId="0" fontId="146" fillId="0" borderId="69" xfId="30099" applyFont="1" applyBorder="1" applyAlignment="1" applyProtection="1">
      <alignment horizontal="left" vertical="center"/>
      <protection locked="0"/>
    </xf>
    <xf numFmtId="0" fontId="143" fillId="26" borderId="0" xfId="30099" applyFont="1" applyFill="1" applyAlignment="1">
      <alignment horizontal="left" vertical="center" wrapText="1"/>
    </xf>
    <xf numFmtId="0" fontId="119" fillId="0" borderId="67" xfId="29597" applyFill="1" applyBorder="1" applyAlignment="1" applyProtection="1">
      <alignment horizontal="left" vertical="center"/>
      <protection locked="0"/>
    </xf>
    <xf numFmtId="0" fontId="129" fillId="0" borderId="13" xfId="30099" applyFont="1" applyBorder="1" applyAlignment="1" applyProtection="1">
      <alignment horizontal="left" vertical="center"/>
      <protection locked="0"/>
    </xf>
    <xf numFmtId="0" fontId="129" fillId="0" borderId="11" xfId="30099" applyFont="1" applyBorder="1" applyAlignment="1" applyProtection="1">
      <alignment horizontal="left" vertical="center"/>
      <protection locked="0"/>
    </xf>
    <xf numFmtId="0" fontId="145" fillId="26" borderId="0" xfId="30099" applyFont="1" applyFill="1" applyAlignment="1">
      <alignment horizontal="center" vertical="center" wrapText="1"/>
    </xf>
    <xf numFmtId="0" fontId="141" fillId="26" borderId="15" xfId="30099" applyFont="1" applyFill="1" applyBorder="1" applyAlignment="1">
      <alignment horizontal="center" vertical="top"/>
    </xf>
    <xf numFmtId="0" fontId="141" fillId="26" borderId="0" xfId="30099" applyFont="1" applyFill="1" applyAlignment="1">
      <alignment horizontal="center" vertical="top"/>
    </xf>
    <xf numFmtId="0" fontId="141" fillId="26" borderId="0" xfId="30099" applyFont="1" applyFill="1" applyAlignment="1">
      <alignment horizontal="center" vertical="top" wrapText="1"/>
    </xf>
    <xf numFmtId="0" fontId="129" fillId="26" borderId="0" xfId="30099" applyFont="1" applyFill="1" applyAlignment="1">
      <alignment horizontal="left" wrapText="1"/>
    </xf>
    <xf numFmtId="0" fontId="129" fillId="26" borderId="72" xfId="30099" applyFont="1" applyFill="1" applyBorder="1" applyAlignment="1">
      <alignment horizontal="left" wrapText="1"/>
    </xf>
    <xf numFmtId="0" fontId="130" fillId="78" borderId="13" xfId="30099" applyFont="1" applyFill="1" applyBorder="1" applyAlignment="1">
      <alignment horizontal="center" vertical="center" wrapText="1"/>
    </xf>
    <xf numFmtId="0" fontId="130" fillId="78" borderId="16" xfId="30099" applyFont="1" applyFill="1" applyBorder="1" applyAlignment="1">
      <alignment horizontal="center" vertical="center" wrapText="1"/>
    </xf>
    <xf numFmtId="0" fontId="130" fillId="78" borderId="11" xfId="30099" applyFont="1" applyFill="1" applyBorder="1" applyAlignment="1">
      <alignment horizontal="center" vertical="center" wrapText="1"/>
    </xf>
    <xf numFmtId="0" fontId="130" fillId="78" borderId="13" xfId="30099" applyFont="1" applyFill="1" applyBorder="1" applyAlignment="1">
      <alignment horizontal="center" vertical="top" wrapText="1"/>
    </xf>
    <xf numFmtId="0" fontId="130" fillId="78" borderId="16" xfId="30099" applyFont="1" applyFill="1" applyBorder="1" applyAlignment="1">
      <alignment horizontal="center" vertical="top" wrapText="1"/>
    </xf>
    <xf numFmtId="0" fontId="130" fillId="78" borderId="11" xfId="30099" applyFont="1" applyFill="1" applyBorder="1" applyAlignment="1">
      <alignment horizontal="center" vertical="top" wrapText="1"/>
    </xf>
    <xf numFmtId="164" fontId="132" fillId="79" borderId="13" xfId="30100" applyNumberFormat="1" applyFont="1" applyFill="1" applyBorder="1" applyAlignment="1">
      <alignment horizontal="center" vertical="center"/>
    </xf>
    <xf numFmtId="164" fontId="132" fillId="79" borderId="16" xfId="30100" applyNumberFormat="1" applyFont="1" applyFill="1" applyBorder="1" applyAlignment="1">
      <alignment horizontal="center" vertical="center"/>
    </xf>
    <xf numFmtId="164" fontId="132" fillId="79" borderId="11" xfId="30100" applyNumberFormat="1" applyFont="1" applyFill="1" applyBorder="1" applyAlignment="1">
      <alignment horizontal="center" vertical="center"/>
    </xf>
    <xf numFmtId="0" fontId="134" fillId="78" borderId="40" xfId="30099" applyFont="1" applyFill="1" applyBorder="1" applyAlignment="1">
      <alignment horizontal="left" vertical="center" wrapText="1"/>
    </xf>
    <xf numFmtId="0" fontId="134" fillId="78" borderId="41" xfId="30099" applyFont="1" applyFill="1" applyBorder="1" applyAlignment="1">
      <alignment horizontal="left" vertical="center" wrapText="1"/>
    </xf>
    <xf numFmtId="0" fontId="134" fillId="78" borderId="42" xfId="30099" applyFont="1" applyFill="1" applyBorder="1" applyAlignment="1">
      <alignment horizontal="left" vertical="center" wrapText="1"/>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0" fillId="34" borderId="13" xfId="0" applyFont="1" applyFill="1" applyBorder="1" applyAlignment="1">
      <alignment horizontal="center" vertical="center" wrapText="1"/>
    </xf>
    <xf numFmtId="0" fontId="60" fillId="34" borderId="16" xfId="0" applyFont="1" applyFill="1" applyBorder="1" applyAlignment="1">
      <alignment horizontal="center" vertical="center" wrapText="1"/>
    </xf>
    <xf numFmtId="0" fontId="60" fillId="34" borderId="11" xfId="0" applyFont="1" applyFill="1" applyBorder="1" applyAlignment="1">
      <alignment horizontal="center" vertical="center" wrapText="1"/>
    </xf>
    <xf numFmtId="0" fontId="0" fillId="78" borderId="140"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41" xfId="0" applyFont="1" applyBorder="1" applyAlignment="1">
      <alignment horizontal="center" vertical="center"/>
    </xf>
    <xf numFmtId="0" fontId="50" fillId="0" borderId="85" xfId="0" applyFont="1" applyBorder="1" applyAlignment="1">
      <alignment horizontal="center" vertical="center"/>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60" fillId="0" borderId="37" xfId="0" applyFont="1" applyBorder="1" applyAlignment="1">
      <alignment horizontal="center" wrapText="1"/>
    </xf>
    <xf numFmtId="0" fontId="60" fillId="0" borderId="38" xfId="0" applyFont="1" applyBorder="1" applyAlignment="1">
      <alignment horizontal="center" wrapText="1"/>
    </xf>
    <xf numFmtId="0" fontId="60" fillId="0" borderId="39" xfId="0" applyFont="1" applyBorder="1" applyAlignment="1">
      <alignment horizontal="center" wrapText="1"/>
    </xf>
    <xf numFmtId="0" fontId="60" fillId="0" borderId="15" xfId="0" applyFont="1" applyBorder="1" applyAlignment="1">
      <alignment horizontal="center" wrapText="1"/>
    </xf>
    <xf numFmtId="0" fontId="60" fillId="0" borderId="0" xfId="0" applyFont="1" applyAlignment="1">
      <alignment horizontal="center" wrapText="1"/>
    </xf>
    <xf numFmtId="0" fontId="60"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8"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0"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0" fillId="78" borderId="13" xfId="0" applyFont="1" applyFill="1" applyBorder="1" applyAlignment="1">
      <alignment horizontal="left" wrapText="1"/>
    </xf>
    <xf numFmtId="0" fontId="60" fillId="78" borderId="16" xfId="0" applyFont="1" applyFill="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60" fillId="78" borderId="134" xfId="0" applyFont="1" applyFill="1" applyBorder="1" applyAlignment="1">
      <alignment horizontal="left" wrapText="1"/>
    </xf>
    <xf numFmtId="0" fontId="40" fillId="78" borderId="57"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1" xfId="0" applyFont="1" applyFill="1" applyBorder="1" applyAlignment="1">
      <alignment horizontal="center" vertical="center" wrapText="1"/>
    </xf>
    <xf numFmtId="0" fontId="163" fillId="73" borderId="128"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8"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8" xfId="0" applyFill="1" applyBorder="1" applyAlignment="1">
      <alignment horizontal="center" vertical="center" wrapText="1"/>
    </xf>
    <xf numFmtId="0" fontId="0" fillId="0" borderId="73"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0" fillId="78" borderId="11" xfId="0" applyFont="1" applyFill="1" applyBorder="1" applyAlignment="1">
      <alignment horizontal="left" wrapText="1"/>
    </xf>
    <xf numFmtId="0" fontId="40" fillId="78" borderId="84" xfId="0" applyFont="1" applyFill="1" applyBorder="1" applyAlignment="1">
      <alignment horizontal="left" wrapText="1"/>
    </xf>
    <xf numFmtId="0" fontId="40" fillId="78" borderId="14" xfId="0" applyFont="1" applyFill="1" applyBorder="1" applyAlignment="1">
      <alignment horizontal="left" wrapText="1"/>
    </xf>
    <xf numFmtId="0" fontId="40" fillId="78" borderId="21" xfId="0" applyFont="1" applyFill="1" applyBorder="1" applyAlignment="1">
      <alignment horizontal="left" wrapText="1"/>
    </xf>
    <xf numFmtId="0" fontId="40" fillId="78" borderId="88" xfId="0" applyFont="1" applyFill="1" applyBorder="1" applyAlignment="1">
      <alignment horizontal="left" wrapText="1"/>
    </xf>
    <xf numFmtId="0" fontId="40" fillId="78" borderId="94" xfId="0" applyFont="1" applyFill="1" applyBorder="1" applyAlignment="1">
      <alignment horizontal="left" wrapText="1"/>
    </xf>
    <xf numFmtId="0" fontId="40" fillId="78" borderId="93" xfId="0" applyFont="1" applyFill="1" applyBorder="1" applyAlignment="1">
      <alignment horizontal="left" wrapText="1"/>
    </xf>
    <xf numFmtId="0" fontId="40" fillId="78" borderId="88" xfId="0" applyFont="1" applyFill="1" applyBorder="1" applyAlignment="1">
      <alignment horizontal="left" vertical="center" wrapText="1"/>
    </xf>
    <xf numFmtId="0" fontId="40" fillId="78" borderId="94" xfId="0" applyFont="1" applyFill="1" applyBorder="1" applyAlignment="1">
      <alignment horizontal="left" vertical="center" wrapText="1"/>
    </xf>
    <xf numFmtId="0" fontId="40" fillId="78" borderId="93" xfId="0" applyFont="1" applyFill="1" applyBorder="1" applyAlignment="1">
      <alignment horizontal="left" vertical="center" wrapText="1"/>
    </xf>
    <xf numFmtId="0" fontId="40" fillId="78" borderId="101" xfId="0" applyFont="1" applyFill="1" applyBorder="1" applyAlignment="1">
      <alignment horizontal="left" wrapText="1"/>
    </xf>
    <xf numFmtId="0" fontId="40" fillId="0" borderId="88" xfId="0" applyFont="1" applyFill="1" applyBorder="1" applyAlignment="1">
      <alignment horizontal="left" wrapText="1"/>
    </xf>
    <xf numFmtId="0" fontId="40" fillId="0" borderId="101" xfId="0" applyFont="1" applyFill="1" applyBorder="1" applyAlignment="1">
      <alignment horizontal="left" wrapText="1"/>
    </xf>
    <xf numFmtId="0" fontId="40" fillId="78" borderId="101" xfId="0" applyFont="1" applyFill="1" applyBorder="1" applyAlignment="1">
      <alignment horizontal="left" vertical="center" wrapText="1"/>
    </xf>
    <xf numFmtId="0" fontId="60" fillId="78" borderId="88" xfId="0" applyFont="1" applyFill="1" applyBorder="1" applyAlignment="1">
      <alignment horizontal="left" vertical="center" wrapText="1"/>
    </xf>
    <xf numFmtId="0" fontId="60" fillId="78" borderId="101" xfId="0" applyFont="1" applyFill="1" applyBorder="1" applyAlignment="1">
      <alignment horizontal="left" vertical="center" wrapText="1"/>
    </xf>
    <xf numFmtId="0" fontId="40" fillId="78" borderId="113" xfId="0" applyFont="1" applyFill="1" applyBorder="1" applyAlignment="1">
      <alignment horizontal="left" wrapText="1"/>
    </xf>
    <xf numFmtId="0" fontId="40" fillId="78" borderId="109"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5"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14" xfId="0" applyFont="1" applyFill="1" applyBorder="1" applyAlignment="1">
      <alignment horizontal="center" vertical="center" wrapText="1"/>
    </xf>
    <xf numFmtId="0" fontId="164" fillId="73" borderId="115"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95" xfId="0" applyFont="1" applyFill="1" applyBorder="1" applyAlignment="1">
      <alignment horizontal="left" vertical="center" wrapText="1"/>
    </xf>
    <xf numFmtId="0" fontId="46" fillId="0" borderId="0" xfId="0" applyFont="1" applyFill="1" applyAlignment="1">
      <alignment horizontal="left" vertical="center" wrapTex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0" fillId="0" borderId="0" xfId="26000" applyFont="1" applyAlignment="1" applyProtection="1">
      <alignment horizontal="center" vertical="top"/>
    </xf>
    <xf numFmtId="0" fontId="60" fillId="0" borderId="0" xfId="26000" applyFont="1" applyAlignment="1" applyProtection="1">
      <alignment horizontal="center"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8" xfId="26000" applyFont="1" applyBorder="1" applyAlignment="1" applyProtection="1">
      <alignment horizontal="left" vertical="top" wrapText="1"/>
    </xf>
    <xf numFmtId="0" fontId="60"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A2338FA5-8524-4237-8FAD-9DB425B51562}"/>
    <cellStyle name="Normal 24" xfId="31723" xr:uid="{BE37FBE3-E7E0-4E3B-859E-DDA037DFFD0D}"/>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79998168889431442"/>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52"/>
      <tableStyleElement type="headerRow" dxfId="151"/>
      <tableStyleElement type="firstRowStripe" dxfId="150"/>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257175</xdr:rowOff>
    </xdr:from>
    <xdr:to>
      <xdr:col>5</xdr:col>
      <xdr:colOff>3507101</xdr:colOff>
      <xdr:row>52</xdr:row>
      <xdr:rowOff>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78155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B709C-F899-48BA-B0A5-C5A8A2BEC230}">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269" customWidth="1"/>
    <col min="2" max="2" width="187.109375" style="269" customWidth="1"/>
    <col min="3" max="4" width="9.109375" style="269" hidden="1" customWidth="1"/>
    <col min="5" max="5" width="2.33203125" style="269" customWidth="1"/>
    <col min="6" max="6" width="8.109375" style="269" customWidth="1"/>
    <col min="7" max="16384" width="9.109375" style="269"/>
  </cols>
  <sheetData>
    <row r="1" spans="2:14" ht="9.6" customHeight="1" thickBot="1" x14ac:dyDescent="0.35">
      <c r="B1" s="176"/>
    </row>
    <row r="2" spans="2:14" ht="107.4" customHeight="1" thickBot="1" x14ac:dyDescent="0.35">
      <c r="B2" s="1242" t="s">
        <v>1827</v>
      </c>
    </row>
    <row r="3" spans="2:14" ht="58.2" customHeight="1" x14ac:dyDescent="0.3">
      <c r="B3" s="187" t="s">
        <v>1828</v>
      </c>
    </row>
    <row r="4" spans="2:14" ht="92.4" customHeight="1" x14ac:dyDescent="0.4">
      <c r="B4" s="187" t="s">
        <v>1829</v>
      </c>
      <c r="F4" s="1243"/>
      <c r="G4" s="1243"/>
      <c r="H4" s="1243"/>
      <c r="I4" s="1243"/>
      <c r="J4" s="1243"/>
      <c r="K4" s="1243"/>
      <c r="L4" s="1243"/>
      <c r="M4" s="1243"/>
      <c r="N4" s="1243"/>
    </row>
    <row r="5" spans="2:14" ht="49.2" customHeight="1" x14ac:dyDescent="0.3">
      <c r="B5" s="187" t="s">
        <v>1830</v>
      </c>
    </row>
    <row r="6" spans="2:14" ht="120" customHeight="1" x14ac:dyDescent="0.3">
      <c r="B6" s="177" t="s">
        <v>1831</v>
      </c>
    </row>
    <row r="7" spans="2:14" ht="25.95" customHeight="1" x14ac:dyDescent="0.3">
      <c r="B7" s="189" t="s">
        <v>946</v>
      </c>
    </row>
    <row r="8" spans="2:14" ht="48" customHeight="1" x14ac:dyDescent="0.3">
      <c r="B8" s="1244" t="s">
        <v>1832</v>
      </c>
    </row>
    <row r="9" spans="2:14" ht="51.6" customHeight="1" x14ac:dyDescent="0.3">
      <c r="B9" s="1244" t="s">
        <v>947</v>
      </c>
    </row>
    <row r="10" spans="2:14" s="1246" customFormat="1" ht="40.950000000000003" customHeight="1" x14ac:dyDescent="0.3">
      <c r="B10" s="1245" t="s">
        <v>948</v>
      </c>
    </row>
    <row r="11" spans="2:14" s="1246" customFormat="1" ht="48" customHeight="1" x14ac:dyDescent="0.3">
      <c r="B11" s="1247" t="s">
        <v>1833</v>
      </c>
    </row>
    <row r="12" spans="2:14" ht="42" customHeight="1" x14ac:dyDescent="0.3">
      <c r="B12" s="1247" t="s">
        <v>1834</v>
      </c>
    </row>
    <row r="13" spans="2:14" ht="21" customHeight="1" x14ac:dyDescent="0.3">
      <c r="B13" s="1248" t="s">
        <v>1835</v>
      </c>
    </row>
    <row r="14" spans="2:14" ht="25.95" customHeight="1" x14ac:dyDescent="0.3">
      <c r="B14" s="189" t="s">
        <v>949</v>
      </c>
    </row>
    <row r="15" spans="2:14" x14ac:dyDescent="0.3">
      <c r="B15" s="176"/>
    </row>
    <row r="16" spans="2:14" x14ac:dyDescent="0.3">
      <c r="B16" s="1249" t="s">
        <v>37</v>
      </c>
    </row>
    <row r="17" spans="2:2" ht="21" customHeight="1" x14ac:dyDescent="0.3">
      <c r="B17" s="1250" t="s">
        <v>1836</v>
      </c>
    </row>
    <row r="18" spans="2:2" x14ac:dyDescent="0.3">
      <c r="B18" s="1251"/>
    </row>
    <row r="19" spans="2:2" x14ac:dyDescent="0.3">
      <c r="B19" s="1249" t="s">
        <v>38</v>
      </c>
    </row>
    <row r="20" spans="2:2" ht="22.2" customHeight="1" x14ac:dyDescent="0.3">
      <c r="B20" s="1252" t="s">
        <v>675</v>
      </c>
    </row>
    <row r="21" spans="2:2" ht="13.2" customHeight="1" x14ac:dyDescent="0.3">
      <c r="B21" s="176"/>
    </row>
    <row r="22" spans="2:2" ht="25.95" customHeight="1" x14ac:dyDescent="0.3">
      <c r="B22" s="189" t="s">
        <v>950</v>
      </c>
    </row>
    <row r="23" spans="2:2" s="1246" customFormat="1" ht="78.599999999999994" customHeight="1" x14ac:dyDescent="0.3">
      <c r="B23" s="1244" t="s">
        <v>1837</v>
      </c>
    </row>
    <row r="24" spans="2:2" s="1246" customFormat="1" ht="86.4" customHeight="1" x14ac:dyDescent="0.3">
      <c r="B24" s="1244" t="s">
        <v>1838</v>
      </c>
    </row>
    <row r="25" spans="2:2" s="1246" customFormat="1" ht="83.4" customHeight="1" x14ac:dyDescent="0.3">
      <c r="B25" s="1244" t="s">
        <v>951</v>
      </c>
    </row>
    <row r="26" spans="2:2" ht="15" x14ac:dyDescent="0.3">
      <c r="B26" s="179" t="s">
        <v>1839</v>
      </c>
    </row>
    <row r="27" spans="2:2" ht="8.4" customHeight="1" x14ac:dyDescent="0.3">
      <c r="B27" s="178"/>
    </row>
    <row r="28" spans="2:2" ht="25.95" customHeight="1" x14ac:dyDescent="0.3">
      <c r="B28" s="189" t="s">
        <v>1840</v>
      </c>
    </row>
    <row r="29" spans="2:2" ht="30.6" customHeight="1" x14ac:dyDescent="0.3">
      <c r="B29" s="190" t="s">
        <v>1841</v>
      </c>
    </row>
    <row r="30" spans="2:2" ht="37.200000000000003" customHeight="1" x14ac:dyDescent="0.3">
      <c r="B30" s="190" t="s">
        <v>1842</v>
      </c>
    </row>
    <row r="31" spans="2:2" ht="26.4" customHeight="1" x14ac:dyDescent="0.3">
      <c r="B31" s="1253" t="s">
        <v>1843</v>
      </c>
    </row>
    <row r="32" spans="2:2" ht="33" customHeight="1" x14ac:dyDescent="0.3">
      <c r="B32" s="1253" t="s">
        <v>1844</v>
      </c>
    </row>
    <row r="33" spans="2:7" ht="30" customHeight="1" x14ac:dyDescent="0.3">
      <c r="B33" s="1254" t="s">
        <v>1845</v>
      </c>
    </row>
    <row r="34" spans="2:7" ht="39.6" customHeight="1" x14ac:dyDescent="0.3">
      <c r="B34" s="1255" t="s">
        <v>1846</v>
      </c>
    </row>
    <row r="35" spans="2:7" ht="49.2" customHeight="1" x14ac:dyDescent="0.3">
      <c r="B35" s="190" t="s">
        <v>1847</v>
      </c>
    </row>
    <row r="36" spans="2:7" ht="25.95" customHeight="1" x14ac:dyDescent="0.3">
      <c r="B36" s="190" t="s">
        <v>1848</v>
      </c>
    </row>
    <row r="37" spans="2:7" ht="12" customHeight="1" x14ac:dyDescent="0.3">
      <c r="B37" s="190"/>
    </row>
    <row r="38" spans="2:7" ht="25.95" customHeight="1" x14ac:dyDescent="0.3">
      <c r="B38" s="189" t="s">
        <v>1224</v>
      </c>
    </row>
    <row r="39" spans="2:7" x14ac:dyDescent="0.3">
      <c r="B39" s="188"/>
      <c r="G39" s="1256"/>
    </row>
    <row r="40" spans="2:7" ht="46.95" customHeight="1" x14ac:dyDescent="0.3">
      <c r="B40" s="1257" t="s">
        <v>1849</v>
      </c>
    </row>
    <row r="41" spans="2:7" ht="19.95" customHeight="1" x14ac:dyDescent="0.3">
      <c r="B41" s="1258" t="s">
        <v>1835</v>
      </c>
    </row>
    <row r="42" spans="2:7" ht="11.4" customHeight="1" x14ac:dyDescent="0.3">
      <c r="B42" s="191"/>
    </row>
    <row r="43" spans="2:7" ht="15" x14ac:dyDescent="0.3">
      <c r="B43" s="192"/>
    </row>
    <row r="44" spans="2:7" ht="7.2" customHeight="1" x14ac:dyDescent="0.3">
      <c r="B44" s="190"/>
    </row>
    <row r="45" spans="2:7" ht="25.95" customHeight="1" x14ac:dyDescent="0.3">
      <c r="B45" s="189" t="s">
        <v>1225</v>
      </c>
    </row>
    <row r="46" spans="2:7" ht="35.4" customHeight="1" x14ac:dyDescent="0.3">
      <c r="B46" s="1257" t="s">
        <v>1850</v>
      </c>
    </row>
    <row r="47" spans="2:7" ht="15" x14ac:dyDescent="0.3">
      <c r="B47" s="192"/>
    </row>
    <row r="58" ht="44.25" customHeight="1" x14ac:dyDescent="0.3"/>
  </sheetData>
  <sheetProtection algorithmName="SHA-512" hashValue="WDd0QfmCVKePQCk8ny6lMkMzONVjNIaxXdDAYrGu7WKUtrm2h7vULUN2UVorSEWVcbGLEzslXQLZI+Xnnm4zSQ==" saltValue="0Pkif+K45OngLdwZoTG0hQ==" spinCount="100000" sheet="1" formatCells="0" formatColumns="0" formatRows="0"/>
  <hyperlinks>
    <hyperlink ref="B17" r:id="rId1" xr:uid="{B9BA3C5D-AF49-49D3-9952-CB13BDE8AFDD}"/>
    <hyperlink ref="B20" r:id="rId2" xr:uid="{9B541304-2A4F-459C-9038-C97F6FBDA470}"/>
    <hyperlink ref="B41" r:id="rId3" xr:uid="{89107158-516E-464E-854E-8A72EDCD0E98}"/>
    <hyperlink ref="B13" r:id="rId4" xr:uid="{E3C361CA-A6C4-45D4-A05B-EC703068AA2E}"/>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8" customWidth="1"/>
    <col min="2" max="2" width="8" style="308" customWidth="1"/>
    <col min="3" max="3" width="14.88671875" style="308" customWidth="1"/>
    <col min="4" max="4" width="16" style="308" customWidth="1"/>
    <col min="5" max="7" width="9.109375" style="308"/>
    <col min="8" max="8" width="21.33203125" style="308" customWidth="1"/>
    <col min="9" max="16384" width="9.109375" style="308"/>
  </cols>
  <sheetData>
    <row r="1" spans="1:11" ht="15.75" customHeight="1" x14ac:dyDescent="0.3">
      <c r="A1" s="1426" t="s">
        <v>1127</v>
      </c>
      <c r="B1" s="1426"/>
      <c r="C1" s="1426"/>
      <c r="D1" s="1426"/>
    </row>
    <row r="2" spans="1:11" ht="15.75" customHeight="1" x14ac:dyDescent="0.3">
      <c r="A2" s="1428" t="s">
        <v>1236</v>
      </c>
      <c r="B2" s="1428"/>
      <c r="C2" s="1428"/>
      <c r="D2" s="1428"/>
    </row>
    <row r="3" spans="1:11" ht="21.9" customHeight="1" x14ac:dyDescent="0.3">
      <c r="A3" s="1426" t="s">
        <v>1237</v>
      </c>
      <c r="B3" s="1426"/>
      <c r="C3" s="1426"/>
      <c r="D3" s="1426"/>
    </row>
    <row r="4" spans="1:11" ht="21" customHeight="1" x14ac:dyDescent="0.3">
      <c r="A4" s="731"/>
      <c r="B4" s="731"/>
      <c r="C4" s="730" t="s">
        <v>1238</v>
      </c>
      <c r="D4" s="730" t="s">
        <v>1239</v>
      </c>
      <c r="I4" s="731"/>
      <c r="J4" s="730"/>
      <c r="K4" s="730"/>
    </row>
    <row r="5" spans="1:11" ht="15.75" customHeight="1" x14ac:dyDescent="0.3">
      <c r="A5" s="731"/>
      <c r="B5" s="726" t="s">
        <v>1240</v>
      </c>
      <c r="C5" s="730" t="s">
        <v>1241</v>
      </c>
      <c r="D5" s="730" t="s">
        <v>1242</v>
      </c>
      <c r="I5" s="726"/>
      <c r="J5" s="730"/>
      <c r="K5" s="730"/>
    </row>
    <row r="6" spans="1:11" ht="21" customHeight="1" x14ac:dyDescent="0.3">
      <c r="A6" s="710" t="s">
        <v>1243</v>
      </c>
      <c r="B6" s="726" t="s">
        <v>1244</v>
      </c>
      <c r="C6" s="730" t="s">
        <v>1245</v>
      </c>
      <c r="D6" s="730" t="s">
        <v>1245</v>
      </c>
      <c r="I6" s="726"/>
      <c r="J6" s="730"/>
      <c r="K6" s="730"/>
    </row>
    <row r="7" spans="1:11" ht="21.9" customHeight="1" x14ac:dyDescent="0.3">
      <c r="A7" s="710" t="s">
        <v>1246</v>
      </c>
      <c r="B7" s="715">
        <v>0.59699999999999998</v>
      </c>
      <c r="C7" s="711">
        <v>2015</v>
      </c>
      <c r="D7" s="711">
        <v>2021</v>
      </c>
      <c r="H7" s="717"/>
      <c r="I7" s="713"/>
      <c r="J7" s="724"/>
      <c r="K7" s="724"/>
    </row>
    <row r="8" spans="1:11" ht="15.75" customHeight="1" x14ac:dyDescent="0.3">
      <c r="A8" s="710" t="s">
        <v>1247</v>
      </c>
      <c r="B8" s="715">
        <v>0.52900000000000003</v>
      </c>
      <c r="C8" s="711">
        <v>2017</v>
      </c>
      <c r="D8" s="711">
        <v>2021</v>
      </c>
      <c r="H8" s="717"/>
      <c r="I8" s="713"/>
      <c r="J8" s="724"/>
      <c r="K8" s="724"/>
    </row>
    <row r="9" spans="1:11" ht="15.75" customHeight="1" x14ac:dyDescent="0.3">
      <c r="A9" s="710" t="s">
        <v>1248</v>
      </c>
      <c r="B9" s="715">
        <v>0.63</v>
      </c>
      <c r="C9" s="711">
        <v>2013</v>
      </c>
      <c r="D9" s="711">
        <v>2021</v>
      </c>
      <c r="H9" s="717"/>
      <c r="I9" s="713"/>
      <c r="J9" s="724"/>
      <c r="K9" s="724"/>
    </row>
    <row r="10" spans="1:11" ht="15.75" customHeight="1" x14ac:dyDescent="0.3">
      <c r="A10" s="710" t="s">
        <v>1249</v>
      </c>
      <c r="B10" s="715">
        <v>0.73499999999999999</v>
      </c>
      <c r="C10" s="711">
        <v>2016</v>
      </c>
      <c r="D10" s="711">
        <v>2021</v>
      </c>
      <c r="H10" s="717"/>
      <c r="I10" s="713"/>
      <c r="J10" s="724"/>
      <c r="K10" s="724"/>
    </row>
    <row r="11" spans="1:11" ht="21.9" customHeight="1" x14ac:dyDescent="0.3">
      <c r="A11" s="710" t="s">
        <v>1250</v>
      </c>
      <c r="B11" s="715">
        <v>0.67</v>
      </c>
      <c r="C11" s="711">
        <v>2017</v>
      </c>
      <c r="D11" s="711">
        <v>2021</v>
      </c>
      <c r="H11" s="717"/>
      <c r="I11" s="713"/>
      <c r="J11" s="724"/>
      <c r="K11" s="724"/>
    </row>
    <row r="12" spans="1:11" ht="21" customHeight="1" x14ac:dyDescent="0.3">
      <c r="A12" s="710" t="s">
        <v>1251</v>
      </c>
      <c r="B12" s="715">
        <v>0.72</v>
      </c>
      <c r="C12" s="711">
        <v>2016</v>
      </c>
      <c r="D12" s="711">
        <v>2021</v>
      </c>
      <c r="H12" s="717"/>
      <c r="I12" s="713"/>
      <c r="J12" s="724"/>
      <c r="K12" s="724"/>
    </row>
    <row r="13" spans="1:11" ht="15.75" customHeight="1" x14ac:dyDescent="0.3">
      <c r="A13" s="710" t="s">
        <v>1252</v>
      </c>
      <c r="B13" s="715">
        <v>0.80500000000000005</v>
      </c>
      <c r="C13" s="711">
        <v>2013</v>
      </c>
      <c r="D13" s="711">
        <v>2021</v>
      </c>
      <c r="H13" s="717"/>
      <c r="I13" s="713"/>
      <c r="J13" s="724"/>
      <c r="K13" s="724"/>
    </row>
    <row r="14" spans="1:11" ht="15.75" customHeight="1" x14ac:dyDescent="0.3">
      <c r="A14" s="710" t="s">
        <v>1253</v>
      </c>
      <c r="B14" s="715">
        <v>0.48</v>
      </c>
      <c r="C14" s="711">
        <v>2013</v>
      </c>
      <c r="D14" s="711">
        <v>2021</v>
      </c>
      <c r="H14" s="717"/>
      <c r="I14" s="713"/>
      <c r="J14" s="724"/>
      <c r="K14" s="724"/>
    </row>
    <row r="15" spans="1:11" ht="15.75" customHeight="1" x14ac:dyDescent="0.3">
      <c r="A15" s="710" t="s">
        <v>1254</v>
      </c>
      <c r="B15" s="715">
        <v>0.54</v>
      </c>
      <c r="C15" s="711">
        <v>2015</v>
      </c>
      <c r="D15" s="711">
        <v>2021</v>
      </c>
      <c r="H15" s="717"/>
      <c r="I15" s="713"/>
      <c r="J15" s="724"/>
      <c r="K15" s="716"/>
    </row>
    <row r="16" spans="1:11" ht="21" customHeight="1" x14ac:dyDescent="0.3">
      <c r="A16" s="710" t="s">
        <v>1255</v>
      </c>
      <c r="B16" s="715">
        <v>0.73799999999999999</v>
      </c>
      <c r="C16" s="711">
        <v>2017</v>
      </c>
      <c r="D16" s="711">
        <v>2021</v>
      </c>
      <c r="H16" s="717"/>
      <c r="I16" s="713"/>
      <c r="J16" s="724"/>
      <c r="K16" s="716"/>
    </row>
    <row r="17" spans="1:11" ht="21.9" customHeight="1" x14ac:dyDescent="0.3">
      <c r="A17" s="710" t="s">
        <v>1256</v>
      </c>
      <c r="B17" s="715">
        <v>0.74350000000000005</v>
      </c>
      <c r="C17" s="711">
        <v>2017</v>
      </c>
      <c r="D17" s="711">
        <v>2021</v>
      </c>
      <c r="H17" s="717"/>
      <c r="I17" s="713"/>
      <c r="J17" s="724"/>
      <c r="K17" s="716"/>
    </row>
    <row r="18" spans="1:11" ht="15.75" customHeight="1" x14ac:dyDescent="0.3">
      <c r="A18" s="710" t="s">
        <v>1257</v>
      </c>
      <c r="B18" s="715">
        <v>0.78600000000000003</v>
      </c>
      <c r="C18" s="711">
        <v>2013</v>
      </c>
      <c r="D18" s="711">
        <v>2021</v>
      </c>
      <c r="H18" s="717"/>
      <c r="I18" s="713"/>
      <c r="J18" s="724"/>
      <c r="K18" s="716"/>
    </row>
    <row r="19" spans="1:11" ht="15.75" customHeight="1" x14ac:dyDescent="0.3">
      <c r="A19" s="710" t="s">
        <v>1258</v>
      </c>
      <c r="B19" s="715">
        <v>0.58499999999999996</v>
      </c>
      <c r="C19" s="711">
        <v>2017</v>
      </c>
      <c r="D19" s="711">
        <v>2021</v>
      </c>
      <c r="H19" s="717"/>
      <c r="I19" s="713"/>
      <c r="J19" s="724"/>
      <c r="K19" s="716"/>
    </row>
    <row r="20" spans="1:11" ht="15.75" customHeight="1" x14ac:dyDescent="0.3">
      <c r="A20" s="710" t="s">
        <v>1259</v>
      </c>
      <c r="B20" s="715">
        <v>0.38</v>
      </c>
      <c r="C20" s="711">
        <v>2016</v>
      </c>
      <c r="D20" s="711">
        <v>2021</v>
      </c>
    </row>
    <row r="21" spans="1:11" ht="21.9" customHeight="1" x14ac:dyDescent="0.3">
      <c r="A21" s="719" t="s">
        <v>1260</v>
      </c>
      <c r="B21" s="715">
        <v>0.55500000000000005</v>
      </c>
      <c r="C21" s="711">
        <v>2017</v>
      </c>
      <c r="D21" s="729">
        <v>2021</v>
      </c>
    </row>
    <row r="22" spans="1:11" ht="21" customHeight="1" x14ac:dyDescent="0.3">
      <c r="A22" s="719" t="s">
        <v>1261</v>
      </c>
      <c r="B22" s="715">
        <v>0.8679</v>
      </c>
      <c r="C22" s="711">
        <v>2017</v>
      </c>
      <c r="D22" s="729">
        <v>2021</v>
      </c>
    </row>
    <row r="23" spans="1:11" ht="15.75" customHeight="1" x14ac:dyDescent="0.3">
      <c r="A23" s="719" t="s">
        <v>1262</v>
      </c>
      <c r="B23" s="715">
        <v>0.72</v>
      </c>
      <c r="C23" s="711">
        <v>2013</v>
      </c>
      <c r="D23" s="729">
        <v>2021</v>
      </c>
    </row>
    <row r="24" spans="1:11" ht="15.75" customHeight="1" x14ac:dyDescent="0.3">
      <c r="A24" s="719" t="s">
        <v>1263</v>
      </c>
      <c r="B24" s="715">
        <v>0.5494</v>
      </c>
      <c r="C24" s="711">
        <v>2017</v>
      </c>
      <c r="D24" s="729">
        <v>2021</v>
      </c>
    </row>
    <row r="25" spans="1:11" ht="15.75" customHeight="1" x14ac:dyDescent="0.3">
      <c r="A25" s="719" t="s">
        <v>1264</v>
      </c>
      <c r="B25" s="715">
        <v>0.67</v>
      </c>
      <c r="C25" s="711">
        <v>2017</v>
      </c>
      <c r="D25" s="729">
        <v>2021</v>
      </c>
    </row>
    <row r="26" spans="1:11" ht="21.9" customHeight="1" x14ac:dyDescent="0.3">
      <c r="A26" s="719" t="s">
        <v>1265</v>
      </c>
      <c r="B26" s="715">
        <v>0.66</v>
      </c>
      <c r="C26" s="711">
        <v>2017</v>
      </c>
      <c r="D26" s="729">
        <v>2021</v>
      </c>
    </row>
    <row r="27" spans="1:11" ht="21.9" customHeight="1" x14ac:dyDescent="0.3">
      <c r="A27" s="719" t="s">
        <v>1266</v>
      </c>
      <c r="B27" s="715">
        <v>0.58199999999999996</v>
      </c>
      <c r="C27" s="711">
        <v>2016</v>
      </c>
      <c r="D27" s="729">
        <v>2021</v>
      </c>
    </row>
    <row r="28" spans="1:11" ht="15.75" customHeight="1" x14ac:dyDescent="0.3">
      <c r="A28" s="719" t="s">
        <v>1267</v>
      </c>
      <c r="B28" s="715">
        <v>0.36</v>
      </c>
      <c r="C28" s="711">
        <v>2013</v>
      </c>
      <c r="D28" s="729">
        <v>2021</v>
      </c>
    </row>
    <row r="29" spans="1:11" ht="15.75" customHeight="1" x14ac:dyDescent="0.3">
      <c r="A29" s="719" t="s">
        <v>1268</v>
      </c>
      <c r="B29" s="715">
        <v>0.63600000000000001</v>
      </c>
      <c r="C29" s="711">
        <v>2016</v>
      </c>
      <c r="D29" s="729">
        <v>2021</v>
      </c>
    </row>
    <row r="30" spans="1:11" ht="15.75" customHeight="1" x14ac:dyDescent="0.3">
      <c r="A30" s="719" t="s">
        <v>1269</v>
      </c>
      <c r="B30" s="715">
        <v>0.73089999999999999</v>
      </c>
      <c r="C30" s="711">
        <v>2015</v>
      </c>
      <c r="D30" s="729">
        <v>2021</v>
      </c>
    </row>
    <row r="31" spans="1:11" ht="21" customHeight="1" x14ac:dyDescent="0.3">
      <c r="A31" s="719" t="s">
        <v>1270</v>
      </c>
      <c r="B31" s="715">
        <v>0.85499999999999998</v>
      </c>
      <c r="C31" s="711">
        <v>2013</v>
      </c>
      <c r="D31" s="729">
        <v>2021</v>
      </c>
    </row>
    <row r="32" spans="1:11" ht="21.9" customHeight="1" x14ac:dyDescent="0.3">
      <c r="A32" s="732" t="s">
        <v>1271</v>
      </c>
      <c r="B32" s="709">
        <v>0.55000000000000004</v>
      </c>
      <c r="C32" s="728">
        <v>2018</v>
      </c>
      <c r="D32" s="728">
        <v>2022</v>
      </c>
    </row>
    <row r="33" spans="1:4" ht="15.75" customHeight="1" x14ac:dyDescent="0.3">
      <c r="A33" s="732" t="s">
        <v>1272</v>
      </c>
      <c r="B33" s="709">
        <v>0.82</v>
      </c>
      <c r="C33" s="728">
        <v>2015</v>
      </c>
      <c r="D33" s="728">
        <v>2022</v>
      </c>
    </row>
    <row r="34" spans="1:4" ht="15.75" customHeight="1" x14ac:dyDescent="0.3">
      <c r="A34" s="732" t="s">
        <v>1273</v>
      </c>
      <c r="B34" s="709">
        <v>0.755</v>
      </c>
      <c r="C34" s="728">
        <v>2014</v>
      </c>
      <c r="D34" s="728">
        <v>2022</v>
      </c>
    </row>
    <row r="35" spans="1:4" ht="15.75" customHeight="1" x14ac:dyDescent="0.3">
      <c r="A35" s="732" t="s">
        <v>1274</v>
      </c>
      <c r="B35" s="709">
        <v>0.5494</v>
      </c>
      <c r="C35" s="728">
        <v>2016</v>
      </c>
      <c r="D35" s="728">
        <v>2022</v>
      </c>
    </row>
    <row r="36" spans="1:4" ht="21.9" customHeight="1" x14ac:dyDescent="0.3">
      <c r="A36" s="732" t="s">
        <v>1275</v>
      </c>
      <c r="B36" s="709">
        <v>0.73499999999999999</v>
      </c>
      <c r="C36" s="728">
        <v>2017</v>
      </c>
      <c r="D36" s="728">
        <v>2022</v>
      </c>
    </row>
    <row r="37" spans="1:4" ht="21" customHeight="1" x14ac:dyDescent="0.3">
      <c r="A37" s="732" t="s">
        <v>1276</v>
      </c>
      <c r="B37" s="709">
        <v>0.73050000000000004</v>
      </c>
      <c r="C37" s="728">
        <v>2017</v>
      </c>
      <c r="D37" s="728">
        <v>2022</v>
      </c>
    </row>
    <row r="38" spans="1:4" ht="15.75" customHeight="1" x14ac:dyDescent="0.3">
      <c r="A38" s="732" t="s">
        <v>1277</v>
      </c>
      <c r="B38" s="709">
        <v>0.75</v>
      </c>
      <c r="C38" s="728">
        <v>2017</v>
      </c>
      <c r="D38" s="728">
        <v>2022</v>
      </c>
    </row>
    <row r="39" spans="1:4" ht="15.75" customHeight="1" x14ac:dyDescent="0.3">
      <c r="A39" s="732" t="s">
        <v>1278</v>
      </c>
      <c r="B39" s="709">
        <v>0.75</v>
      </c>
      <c r="C39" s="728">
        <v>2014</v>
      </c>
      <c r="D39" s="728">
        <v>2022</v>
      </c>
    </row>
    <row r="40" spans="1:4" ht="15.75" customHeight="1" x14ac:dyDescent="0.3">
      <c r="A40" s="733" t="s">
        <v>1279</v>
      </c>
      <c r="B40" s="709">
        <v>0.77</v>
      </c>
      <c r="C40" s="728">
        <v>2014</v>
      </c>
      <c r="D40" s="714">
        <v>2022</v>
      </c>
    </row>
    <row r="41" spans="1:4" ht="21" customHeight="1" x14ac:dyDescent="0.3">
      <c r="A41" s="733" t="s">
        <v>1280</v>
      </c>
      <c r="B41" s="709">
        <v>0.57999999999999996</v>
      </c>
      <c r="C41" s="728">
        <v>2018</v>
      </c>
      <c r="D41" s="714">
        <v>2022</v>
      </c>
    </row>
    <row r="42" spans="1:4" ht="21.9" customHeight="1" x14ac:dyDescent="0.3">
      <c r="A42" s="733" t="s">
        <v>1281</v>
      </c>
      <c r="B42" s="709">
        <v>0.70499999999999996</v>
      </c>
      <c r="C42" s="728">
        <v>2018</v>
      </c>
      <c r="D42" s="714">
        <v>2022</v>
      </c>
    </row>
    <row r="43" spans="1:4" ht="15.75" customHeight="1" x14ac:dyDescent="0.3">
      <c r="A43" s="733" t="s">
        <v>1282</v>
      </c>
      <c r="B43" s="709">
        <v>0.77</v>
      </c>
      <c r="C43" s="728">
        <v>2014</v>
      </c>
      <c r="D43" s="714">
        <v>2022</v>
      </c>
    </row>
    <row r="44" spans="1:4" ht="15.75" customHeight="1" x14ac:dyDescent="0.3">
      <c r="A44" s="733" t="s">
        <v>1283</v>
      </c>
      <c r="B44" s="709">
        <v>0.40300000000000002</v>
      </c>
      <c r="C44" s="728">
        <v>2014</v>
      </c>
      <c r="D44" s="714">
        <v>2022</v>
      </c>
    </row>
    <row r="45" spans="1:4" ht="15.75" customHeight="1" x14ac:dyDescent="0.3">
      <c r="A45" s="710" t="s">
        <v>1284</v>
      </c>
      <c r="B45" s="715">
        <v>0.79</v>
      </c>
      <c r="C45" s="711">
        <v>2015</v>
      </c>
      <c r="D45" s="711">
        <v>2023</v>
      </c>
    </row>
    <row r="46" spans="1:4" ht="21.9" customHeight="1" x14ac:dyDescent="0.3">
      <c r="A46" s="710" t="s">
        <v>1285</v>
      </c>
      <c r="B46" s="715">
        <v>0.443</v>
      </c>
      <c r="C46" s="711">
        <v>2019</v>
      </c>
      <c r="D46" s="711">
        <v>2023</v>
      </c>
    </row>
    <row r="47" spans="1:4" ht="21" customHeight="1" x14ac:dyDescent="0.3">
      <c r="A47" s="710" t="s">
        <v>1286</v>
      </c>
      <c r="B47" s="715">
        <v>0.48499999999999999</v>
      </c>
      <c r="C47" s="711">
        <v>2019</v>
      </c>
      <c r="D47" s="711">
        <v>2023</v>
      </c>
    </row>
    <row r="48" spans="1:4" ht="15.75" customHeight="1" x14ac:dyDescent="0.3">
      <c r="A48" s="710" t="s">
        <v>1287</v>
      </c>
      <c r="B48" s="715">
        <v>0.74</v>
      </c>
      <c r="C48" s="711">
        <v>2015</v>
      </c>
      <c r="D48" s="711">
        <v>2023</v>
      </c>
    </row>
    <row r="49" spans="1:4" ht="15.75" customHeight="1" x14ac:dyDescent="0.3">
      <c r="A49" s="710" t="s">
        <v>1288</v>
      </c>
      <c r="B49" s="715">
        <v>0.57499999999999996</v>
      </c>
      <c r="C49" s="711">
        <v>2019</v>
      </c>
      <c r="D49" s="711">
        <v>2023</v>
      </c>
    </row>
    <row r="50" spans="1:4" ht="15.75" customHeight="1" x14ac:dyDescent="0.3">
      <c r="A50" s="710" t="s">
        <v>1289</v>
      </c>
      <c r="B50" s="715">
        <v>0.71220000000000006</v>
      </c>
      <c r="C50" s="711">
        <v>2019</v>
      </c>
      <c r="D50" s="711">
        <v>2023</v>
      </c>
    </row>
    <row r="51" spans="1:4" ht="21.9" customHeight="1" x14ac:dyDescent="0.3">
      <c r="A51" s="710" t="s">
        <v>1290</v>
      </c>
      <c r="B51" s="715">
        <v>0.83</v>
      </c>
      <c r="C51" s="711">
        <v>2019</v>
      </c>
      <c r="D51" s="711">
        <v>2023</v>
      </c>
    </row>
    <row r="52" spans="1:4" ht="21.9" customHeight="1" x14ac:dyDescent="0.3">
      <c r="A52" s="710" t="s">
        <v>1291</v>
      </c>
      <c r="B52" s="715">
        <v>0.65</v>
      </c>
      <c r="C52" s="711">
        <v>2019</v>
      </c>
      <c r="D52" s="711">
        <v>2023</v>
      </c>
    </row>
    <row r="53" spans="1:4" ht="15.75" customHeight="1" x14ac:dyDescent="0.3">
      <c r="A53" s="710" t="s">
        <v>1292</v>
      </c>
      <c r="B53" s="715">
        <v>0.56100000000000005</v>
      </c>
      <c r="C53" s="711">
        <v>2019</v>
      </c>
      <c r="D53" s="711">
        <v>2023</v>
      </c>
    </row>
    <row r="54" spans="1:4" ht="15.75" customHeight="1" x14ac:dyDescent="0.3">
      <c r="A54" s="710" t="s">
        <v>1293</v>
      </c>
      <c r="B54" s="715">
        <v>0.77</v>
      </c>
      <c r="C54" s="711">
        <v>2017</v>
      </c>
      <c r="D54" s="711">
        <v>2023</v>
      </c>
    </row>
    <row r="55" spans="1:4" ht="15.75" customHeight="1" x14ac:dyDescent="0.3">
      <c r="A55" s="710" t="s">
        <v>1294</v>
      </c>
      <c r="B55" s="715">
        <v>0.53749999999999998</v>
      </c>
      <c r="C55" s="711">
        <v>2019</v>
      </c>
      <c r="D55" s="711">
        <v>2023</v>
      </c>
    </row>
    <row r="56" spans="1:4" ht="36" customHeight="1" x14ac:dyDescent="0.3">
      <c r="A56" s="719" t="s">
        <v>1295</v>
      </c>
      <c r="B56" s="715">
        <v>0.77500000000000002</v>
      </c>
      <c r="C56" s="711">
        <v>2019</v>
      </c>
      <c r="D56" s="729">
        <v>2023</v>
      </c>
    </row>
    <row r="57" spans="1:4" ht="36" customHeight="1" x14ac:dyDescent="0.3">
      <c r="A57" s="719" t="s">
        <v>1296</v>
      </c>
      <c r="B57" s="715">
        <v>0.59899999999999998</v>
      </c>
      <c r="C57" s="711">
        <v>2019</v>
      </c>
      <c r="D57" s="729">
        <v>2023</v>
      </c>
    </row>
    <row r="58" spans="1:4" ht="36" customHeight="1" x14ac:dyDescent="0.3">
      <c r="A58" s="719" t="s">
        <v>1297</v>
      </c>
      <c r="B58" s="715">
        <v>0.37469999999999998</v>
      </c>
      <c r="C58" s="711">
        <v>2019</v>
      </c>
      <c r="D58" s="729">
        <v>2023</v>
      </c>
    </row>
    <row r="59" spans="1:4" ht="36" customHeight="1" x14ac:dyDescent="0.3">
      <c r="A59" s="719" t="s">
        <v>1298</v>
      </c>
      <c r="B59" s="715">
        <v>0.58750000000000002</v>
      </c>
      <c r="C59" s="711">
        <v>2019</v>
      </c>
      <c r="D59" s="729">
        <v>2023</v>
      </c>
    </row>
    <row r="60" spans="1:4" ht="36" customHeight="1" x14ac:dyDescent="0.3">
      <c r="A60" s="719" t="s">
        <v>1299</v>
      </c>
      <c r="B60" s="715">
        <v>0.6169</v>
      </c>
      <c r="C60" s="711">
        <v>2019</v>
      </c>
      <c r="D60" s="729">
        <v>2023</v>
      </c>
    </row>
    <row r="61" spans="1:4" ht="36" customHeight="1" x14ac:dyDescent="0.3">
      <c r="A61" s="719" t="s">
        <v>1300</v>
      </c>
      <c r="B61" s="715">
        <v>0.51</v>
      </c>
      <c r="C61" s="711">
        <v>2019</v>
      </c>
      <c r="D61" s="729">
        <v>2023</v>
      </c>
    </row>
    <row r="62" spans="1:4" ht="36" customHeight="1" x14ac:dyDescent="0.3">
      <c r="A62" s="719" t="s">
        <v>1301</v>
      </c>
      <c r="B62" s="715">
        <v>0.91</v>
      </c>
      <c r="C62" s="711">
        <v>2015</v>
      </c>
      <c r="D62" s="729">
        <v>2023</v>
      </c>
    </row>
    <row r="63" spans="1:4" ht="36" customHeight="1" x14ac:dyDescent="0.3">
      <c r="A63" s="719" t="s">
        <v>1302</v>
      </c>
      <c r="B63" s="715">
        <v>0.65749999999999997</v>
      </c>
      <c r="C63" s="711">
        <v>2019</v>
      </c>
      <c r="D63" s="729">
        <v>2023</v>
      </c>
    </row>
    <row r="64" spans="1:4" ht="36" customHeight="1" x14ac:dyDescent="0.3">
      <c r="A64" s="719" t="s">
        <v>1303</v>
      </c>
      <c r="B64" s="715">
        <v>0.59699999999999998</v>
      </c>
      <c r="C64" s="711">
        <v>2019</v>
      </c>
      <c r="D64" s="729">
        <v>2023</v>
      </c>
    </row>
    <row r="65" spans="1:4" ht="36" customHeight="1" x14ac:dyDescent="0.3">
      <c r="A65" s="719" t="s">
        <v>1304</v>
      </c>
      <c r="B65" s="715">
        <v>0.66</v>
      </c>
      <c r="C65" s="711">
        <v>2019</v>
      </c>
      <c r="D65" s="729">
        <v>2023</v>
      </c>
    </row>
    <row r="66" spans="1:4" ht="36" customHeight="1" x14ac:dyDescent="0.3">
      <c r="A66" s="719" t="s">
        <v>1305</v>
      </c>
      <c r="B66" s="715">
        <v>0.66</v>
      </c>
      <c r="C66" s="711">
        <v>2017</v>
      </c>
      <c r="D66" s="729">
        <v>2023</v>
      </c>
    </row>
    <row r="67" spans="1:4" ht="36" customHeight="1" x14ac:dyDescent="0.3">
      <c r="A67" s="710" t="s">
        <v>1306</v>
      </c>
      <c r="B67" s="715">
        <v>0.74</v>
      </c>
      <c r="C67" s="711">
        <v>2020</v>
      </c>
      <c r="D67" s="711">
        <v>2024</v>
      </c>
    </row>
    <row r="68" spans="1:4" ht="36" customHeight="1" x14ac:dyDescent="0.3">
      <c r="A68" s="710" t="s">
        <v>1307</v>
      </c>
      <c r="B68" s="715">
        <v>0.33</v>
      </c>
      <c r="C68" s="711">
        <v>2020</v>
      </c>
      <c r="D68" s="711">
        <v>2024</v>
      </c>
    </row>
    <row r="69" spans="1:4" ht="36" customHeight="1" x14ac:dyDescent="0.3">
      <c r="A69" s="710" t="s">
        <v>1308</v>
      </c>
      <c r="B69" s="715">
        <v>0.80500000000000005</v>
      </c>
      <c r="C69" s="711">
        <v>2018</v>
      </c>
      <c r="D69" s="711">
        <v>2024</v>
      </c>
    </row>
    <row r="70" spans="1:4" ht="36" customHeight="1" x14ac:dyDescent="0.3">
      <c r="A70" s="710" t="s">
        <v>1309</v>
      </c>
      <c r="B70" s="715">
        <v>0.76</v>
      </c>
      <c r="C70" s="711">
        <v>2020</v>
      </c>
      <c r="D70" s="711">
        <v>2024</v>
      </c>
    </row>
    <row r="71" spans="1:4" ht="36" customHeight="1" x14ac:dyDescent="0.3">
      <c r="A71" s="719" t="s">
        <v>1310</v>
      </c>
      <c r="B71" s="715">
        <v>0.59</v>
      </c>
      <c r="C71" s="711">
        <v>2016</v>
      </c>
      <c r="D71" s="729">
        <v>2024</v>
      </c>
    </row>
    <row r="72" spans="1:4" ht="36" customHeight="1" x14ac:dyDescent="0.3">
      <c r="A72" s="719" t="s">
        <v>1311</v>
      </c>
      <c r="B72" s="715">
        <v>0.67969999999999997</v>
      </c>
      <c r="C72" s="711">
        <v>2020</v>
      </c>
      <c r="D72" s="729">
        <v>2024</v>
      </c>
    </row>
    <row r="73" spans="1:4" ht="36" customHeight="1" x14ac:dyDescent="0.3">
      <c r="A73" s="719" t="s">
        <v>1312</v>
      </c>
      <c r="B73" s="715">
        <v>0.83</v>
      </c>
      <c r="C73" s="711">
        <v>2016</v>
      </c>
      <c r="D73" s="729">
        <v>2024</v>
      </c>
    </row>
    <row r="74" spans="1:4" ht="36" customHeight="1" x14ac:dyDescent="0.3">
      <c r="A74" s="719" t="s">
        <v>1313</v>
      </c>
      <c r="B74" s="715">
        <v>0.77</v>
      </c>
      <c r="C74" s="711">
        <v>2018</v>
      </c>
      <c r="D74" s="729">
        <v>2024</v>
      </c>
    </row>
    <row r="75" spans="1:4" ht="36" customHeight="1" x14ac:dyDescent="0.3">
      <c r="A75" s="719" t="s">
        <v>1314</v>
      </c>
      <c r="B75" s="715">
        <v>0.89</v>
      </c>
      <c r="C75" s="711">
        <v>2016</v>
      </c>
      <c r="D75" s="729">
        <v>2024</v>
      </c>
    </row>
    <row r="76" spans="1:4" ht="36" customHeight="1" x14ac:dyDescent="0.3">
      <c r="A76" s="719" t="s">
        <v>1315</v>
      </c>
      <c r="B76" s="715">
        <v>0.6</v>
      </c>
      <c r="C76" s="711">
        <v>2020</v>
      </c>
      <c r="D76" s="729">
        <v>2024</v>
      </c>
    </row>
    <row r="77" spans="1:4" ht="36" customHeight="1" x14ac:dyDescent="0.3">
      <c r="A77" s="719" t="s">
        <v>1316</v>
      </c>
      <c r="B77" s="715">
        <v>0.73</v>
      </c>
      <c r="C77" s="711">
        <v>2016</v>
      </c>
      <c r="D77" s="729">
        <v>2024</v>
      </c>
    </row>
    <row r="78" spans="1:4" ht="36" customHeight="1" x14ac:dyDescent="0.3">
      <c r="A78" s="719" t="s">
        <v>1317</v>
      </c>
      <c r="B78" s="715">
        <v>0.6</v>
      </c>
      <c r="C78" s="711">
        <v>2016</v>
      </c>
      <c r="D78" s="729">
        <v>2024</v>
      </c>
    </row>
    <row r="79" spans="1:4" ht="36" customHeight="1" x14ac:dyDescent="0.3">
      <c r="A79" s="710" t="s">
        <v>1318</v>
      </c>
      <c r="B79" s="715">
        <v>0.67</v>
      </c>
      <c r="C79" s="711">
        <v>2017</v>
      </c>
      <c r="D79" s="711">
        <v>2025</v>
      </c>
    </row>
    <row r="80" spans="1:4" ht="36" customHeight="1" x14ac:dyDescent="0.3">
      <c r="A80" s="710" t="s">
        <v>1319</v>
      </c>
      <c r="B80" s="715">
        <v>0.69499999999999995</v>
      </c>
      <c r="C80" s="711">
        <v>2019</v>
      </c>
      <c r="D80" s="711">
        <v>2025</v>
      </c>
    </row>
    <row r="81" spans="1:4" ht="36" customHeight="1" x14ac:dyDescent="0.3">
      <c r="A81" s="710" t="s">
        <v>1320</v>
      </c>
      <c r="B81" s="715">
        <v>0.79900000000000004</v>
      </c>
      <c r="C81" s="711">
        <v>2017</v>
      </c>
      <c r="D81" s="711">
        <v>2025</v>
      </c>
    </row>
    <row r="82" spans="1:4" ht="36" customHeight="1" x14ac:dyDescent="0.3">
      <c r="A82" s="710" t="s">
        <v>1321</v>
      </c>
      <c r="B82" s="715">
        <v>0.40050000000000002</v>
      </c>
      <c r="C82" s="711">
        <v>2020</v>
      </c>
      <c r="D82" s="711">
        <v>2025</v>
      </c>
    </row>
    <row r="83" spans="1:4" ht="36" customHeight="1" x14ac:dyDescent="0.3">
      <c r="A83" s="710" t="s">
        <v>1322</v>
      </c>
      <c r="B83" s="715">
        <v>0.95</v>
      </c>
      <c r="C83" s="711">
        <v>2017</v>
      </c>
      <c r="D83" s="711">
        <v>2025</v>
      </c>
    </row>
    <row r="84" spans="1:4" ht="36" customHeight="1" x14ac:dyDescent="0.3">
      <c r="A84" s="710" t="s">
        <v>1323</v>
      </c>
      <c r="B84" s="715">
        <v>0.79</v>
      </c>
      <c r="C84" s="711">
        <v>2017</v>
      </c>
      <c r="D84" s="711">
        <v>2025</v>
      </c>
    </row>
    <row r="85" spans="1:4" ht="36" customHeight="1" x14ac:dyDescent="0.3">
      <c r="A85" s="719" t="s">
        <v>1324</v>
      </c>
      <c r="B85" s="715">
        <v>0.76</v>
      </c>
      <c r="C85" s="711">
        <v>2019</v>
      </c>
      <c r="D85" s="729">
        <v>2025</v>
      </c>
    </row>
    <row r="86" spans="1:4" ht="36" customHeight="1" x14ac:dyDescent="0.3">
      <c r="A86" s="719" t="s">
        <v>1325</v>
      </c>
      <c r="B86" s="715">
        <v>0.84499999999999997</v>
      </c>
      <c r="C86" s="711">
        <v>2017</v>
      </c>
      <c r="D86" s="729">
        <v>2025</v>
      </c>
    </row>
    <row r="87" spans="1:4" ht="36" customHeight="1" x14ac:dyDescent="0.3">
      <c r="A87" s="719" t="s">
        <v>1326</v>
      </c>
      <c r="B87" s="715">
        <v>0.81</v>
      </c>
      <c r="C87" s="711">
        <v>2017</v>
      </c>
      <c r="D87" s="729">
        <v>2025</v>
      </c>
    </row>
    <row r="88" spans="1:4" ht="36" customHeight="1" x14ac:dyDescent="0.3">
      <c r="A88" s="719" t="s">
        <v>1327</v>
      </c>
      <c r="B88" s="715">
        <v>0.67</v>
      </c>
      <c r="C88" s="711">
        <v>2017</v>
      </c>
      <c r="D88" s="729">
        <v>2025</v>
      </c>
    </row>
    <row r="89" spans="1:4" ht="36" customHeight="1" x14ac:dyDescent="0.3">
      <c r="A89" s="719" t="s">
        <v>1328</v>
      </c>
      <c r="B89" s="715">
        <v>0.63270000000000004</v>
      </c>
      <c r="C89" s="711">
        <v>2019</v>
      </c>
      <c r="D89" s="729">
        <v>2025</v>
      </c>
    </row>
    <row r="90" spans="1:4" ht="36" customHeight="1" x14ac:dyDescent="0.3">
      <c r="A90" s="719" t="s">
        <v>1329</v>
      </c>
      <c r="B90" s="715">
        <v>0.94</v>
      </c>
      <c r="C90" s="711">
        <v>2017</v>
      </c>
      <c r="D90" s="729">
        <v>2025</v>
      </c>
    </row>
    <row r="91" spans="1:4" ht="36" customHeight="1" x14ac:dyDescent="0.3">
      <c r="A91" s="719" t="s">
        <v>1330</v>
      </c>
      <c r="B91" s="715">
        <v>0.81</v>
      </c>
      <c r="C91" s="711">
        <v>2017</v>
      </c>
      <c r="D91" s="729">
        <v>2025</v>
      </c>
    </row>
    <row r="92" spans="1:4" ht="36" customHeight="1" x14ac:dyDescent="0.3">
      <c r="A92" s="710" t="s">
        <v>1331</v>
      </c>
      <c r="B92" s="715">
        <v>0.77700000000000002</v>
      </c>
      <c r="C92" s="711">
        <v>2018</v>
      </c>
      <c r="D92" s="711">
        <v>2026</v>
      </c>
    </row>
    <row r="93" spans="1:4" ht="36" customHeight="1" x14ac:dyDescent="0.3">
      <c r="A93" s="710" t="s">
        <v>1332</v>
      </c>
      <c r="B93" s="715">
        <v>0.63500000000000001</v>
      </c>
      <c r="C93" s="711">
        <v>2018</v>
      </c>
      <c r="D93" s="711">
        <v>2026</v>
      </c>
    </row>
    <row r="94" spans="1:4" ht="36" customHeight="1" x14ac:dyDescent="0.3">
      <c r="A94" s="710" t="s">
        <v>1333</v>
      </c>
      <c r="B94" s="715">
        <v>0.43</v>
      </c>
      <c r="C94" s="711">
        <v>2018</v>
      </c>
      <c r="D94" s="711">
        <v>2026</v>
      </c>
    </row>
    <row r="95" spans="1:4" ht="36" customHeight="1" x14ac:dyDescent="0.3">
      <c r="A95" s="710" t="s">
        <v>1334</v>
      </c>
      <c r="B95" s="715">
        <v>0.84</v>
      </c>
      <c r="C95" s="711">
        <v>2018</v>
      </c>
      <c r="D95" s="711">
        <v>2026</v>
      </c>
    </row>
    <row r="96" spans="1:4" ht="36" customHeight="1" x14ac:dyDescent="0.3">
      <c r="A96" s="710" t="s">
        <v>1335</v>
      </c>
      <c r="B96" s="715">
        <v>0.84</v>
      </c>
      <c r="C96" s="711">
        <v>2019</v>
      </c>
      <c r="D96" s="711">
        <v>2027</v>
      </c>
    </row>
    <row r="97" spans="1:4" ht="36" customHeight="1" x14ac:dyDescent="0.3">
      <c r="A97" s="719" t="s">
        <v>1336</v>
      </c>
      <c r="B97" s="715">
        <v>0.64500000000000002</v>
      </c>
      <c r="C97" s="711">
        <v>2019</v>
      </c>
      <c r="D97" s="729">
        <v>2027</v>
      </c>
    </row>
    <row r="98" spans="1:4" ht="36" customHeight="1" x14ac:dyDescent="0.3">
      <c r="A98" s="719" t="s">
        <v>1337</v>
      </c>
      <c r="B98" s="715">
        <v>0.69499999999999995</v>
      </c>
      <c r="C98" s="711">
        <v>2019</v>
      </c>
      <c r="D98" s="729">
        <v>2027</v>
      </c>
    </row>
    <row r="99" spans="1:4" ht="36" customHeight="1" x14ac:dyDescent="0.3">
      <c r="A99" s="719" t="s">
        <v>1338</v>
      </c>
      <c r="B99" s="715">
        <v>0.82499999999999996</v>
      </c>
      <c r="C99" s="711">
        <v>2019</v>
      </c>
      <c r="D99" s="729">
        <v>2027</v>
      </c>
    </row>
    <row r="100" spans="1:4" ht="36" customHeight="1" x14ac:dyDescent="0.3">
      <c r="A100" s="719" t="s">
        <v>1339</v>
      </c>
      <c r="B100" s="715">
        <v>1</v>
      </c>
      <c r="C100" s="711">
        <v>2019</v>
      </c>
      <c r="D100" s="729">
        <v>2027</v>
      </c>
    </row>
    <row r="101" spans="1:4" ht="36" customHeight="1" x14ac:dyDescent="0.3">
      <c r="A101" s="719" t="s">
        <v>1340</v>
      </c>
      <c r="B101" s="715">
        <v>0.66349999999999998</v>
      </c>
      <c r="C101" s="711">
        <v>2019</v>
      </c>
      <c r="D101" s="729">
        <v>2027</v>
      </c>
    </row>
    <row r="102" spans="1:4" ht="36" customHeight="1" x14ac:dyDescent="0.3">
      <c r="A102" s="710" t="s">
        <v>1341</v>
      </c>
      <c r="B102" s="715">
        <v>0.86499999999999999</v>
      </c>
      <c r="C102" s="711">
        <v>2020</v>
      </c>
      <c r="D102" s="711">
        <v>2028</v>
      </c>
    </row>
    <row r="103" spans="1:4" ht="36" customHeight="1" x14ac:dyDescent="0.3">
      <c r="A103" s="710" t="s">
        <v>1342</v>
      </c>
      <c r="B103" s="715">
        <v>0.46</v>
      </c>
      <c r="C103" s="711">
        <v>2020</v>
      </c>
      <c r="D103" s="711">
        <v>2028</v>
      </c>
    </row>
    <row r="104" spans="1:4" ht="36" customHeight="1" x14ac:dyDescent="0.3">
      <c r="A104" s="719" t="s">
        <v>1343</v>
      </c>
      <c r="B104" s="715">
        <v>0.5</v>
      </c>
      <c r="C104" s="711">
        <v>2020</v>
      </c>
      <c r="D104" s="729">
        <v>2028</v>
      </c>
    </row>
    <row r="105" spans="1:4" ht="36" customHeight="1" x14ac:dyDescent="0.3">
      <c r="A105" s="719" t="s">
        <v>1344</v>
      </c>
      <c r="B105" s="715">
        <v>0.62</v>
      </c>
      <c r="C105" s="711">
        <v>2020</v>
      </c>
      <c r="D105" s="729">
        <v>2028</v>
      </c>
    </row>
    <row r="106" spans="1:4" ht="36" customHeight="1" x14ac:dyDescent="0.3">
      <c r="A106" s="719" t="s">
        <v>1345</v>
      </c>
      <c r="B106" s="715">
        <v>0.625</v>
      </c>
      <c r="C106" s="711">
        <v>2020</v>
      </c>
      <c r="D106" s="729">
        <v>2028</v>
      </c>
    </row>
    <row r="107" spans="1:4" ht="36" customHeight="1" x14ac:dyDescent="0.3">
      <c r="A107" s="710"/>
      <c r="B107" s="715"/>
      <c r="C107" s="711"/>
      <c r="D107" s="711"/>
    </row>
    <row r="108" spans="1:4" ht="36" customHeight="1" x14ac:dyDescent="0.3">
      <c r="A108" s="710"/>
      <c r="B108" s="715"/>
      <c r="C108" s="711"/>
      <c r="D108" s="711"/>
    </row>
    <row r="109" spans="1:4" ht="36" customHeight="1" x14ac:dyDescent="0.3">
      <c r="A109" s="710"/>
      <c r="B109" s="715"/>
      <c r="C109" s="711"/>
      <c r="D109" s="711"/>
    </row>
    <row r="110" spans="1:4" ht="36" customHeight="1" x14ac:dyDescent="0.3">
      <c r="A110" s="710"/>
      <c r="B110" s="715"/>
      <c r="C110" s="711"/>
      <c r="D110" s="711"/>
    </row>
    <row r="111" spans="1:4" ht="36" customHeight="1" x14ac:dyDescent="0.3">
      <c r="A111" s="710"/>
      <c r="B111" s="715"/>
      <c r="C111" s="711"/>
      <c r="D111" s="711"/>
    </row>
    <row r="112" spans="1:4" ht="36" customHeight="1" x14ac:dyDescent="0.3">
      <c r="A112" s="1429" t="s">
        <v>1346</v>
      </c>
      <c r="B112" s="1429"/>
      <c r="C112" s="1429"/>
      <c r="D112" s="1429"/>
    </row>
    <row r="113" spans="1:4" ht="15.75" customHeight="1" x14ac:dyDescent="0.3">
      <c r="A113" s="1424" t="s">
        <v>1347</v>
      </c>
      <c r="B113" s="1424"/>
      <c r="C113" s="1424"/>
      <c r="D113" s="1424"/>
    </row>
    <row r="114" spans="1:4" ht="15.75" customHeight="1" x14ac:dyDescent="0.3">
      <c r="A114" s="1427" t="s">
        <v>1348</v>
      </c>
      <c r="B114" s="1427"/>
      <c r="C114" s="1427"/>
      <c r="D114" s="1427"/>
    </row>
    <row r="115" spans="1:4" ht="15.75" customHeight="1" x14ac:dyDescent="0.3">
      <c r="A115" s="1424" t="s">
        <v>1349</v>
      </c>
      <c r="B115" s="1424"/>
      <c r="C115" s="1424"/>
      <c r="D115" s="1424"/>
    </row>
    <row r="116" spans="1:4" ht="21.9" customHeight="1" x14ac:dyDescent="0.3">
      <c r="A116" s="1425" t="s">
        <v>1350</v>
      </c>
      <c r="B116" s="1425"/>
      <c r="C116" s="1425"/>
      <c r="D116" s="1425"/>
    </row>
    <row r="117" spans="1:4" ht="21" customHeight="1" x14ac:dyDescent="0.3">
      <c r="A117" s="1426" t="s">
        <v>1351</v>
      </c>
      <c r="B117" s="1426"/>
      <c r="C117" s="1426"/>
      <c r="D117" s="1426"/>
    </row>
    <row r="118" spans="1:4" ht="15.75" customHeight="1" x14ac:dyDescent="0.3">
      <c r="A118" s="1426" t="s">
        <v>1352</v>
      </c>
      <c r="B118" s="1426"/>
      <c r="C118" s="1426"/>
      <c r="D118" s="1426"/>
    </row>
    <row r="119" spans="1:4" ht="15.75" customHeight="1" x14ac:dyDescent="0.3">
      <c r="A119" s="1426" t="s">
        <v>1353</v>
      </c>
      <c r="B119" s="1426"/>
      <c r="C119" s="1426"/>
      <c r="D119" s="142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B418"/>
  <sheetViews>
    <sheetView zoomScaleNormal="100" workbookViewId="0">
      <pane xSplit="4" ySplit="2" topLeftCell="E341" activePane="bottomRight" state="frozen"/>
      <selection pane="topRight" activeCell="E1" sqref="E1"/>
      <selection pane="bottomLeft" activeCell="A3" sqref="A3"/>
      <selection pane="bottomRight" activeCell="E363" sqref="E363"/>
    </sheetView>
  </sheetViews>
  <sheetFormatPr defaultColWidth="9.109375" defaultRowHeight="14.4" x14ac:dyDescent="0.3"/>
  <cols>
    <col min="1" max="1" width="5.33203125" style="1154" customWidth="1"/>
    <col min="2" max="2" width="31.5546875" style="1168" customWidth="1"/>
    <col min="3" max="3" width="52" style="1154" customWidth="1"/>
    <col min="4" max="4" width="9.109375" style="1154"/>
    <col min="5" max="5" width="14.5546875" style="1154" bestFit="1" customWidth="1"/>
    <col min="6" max="6" width="15.6640625" style="1154" bestFit="1" customWidth="1"/>
    <col min="7" max="7" width="12.5546875" style="1154" customWidth="1"/>
    <col min="8" max="8" width="17.109375" style="1154" bestFit="1" customWidth="1"/>
    <col min="9" max="9" width="15.6640625" style="1154" bestFit="1" customWidth="1"/>
    <col min="10" max="10" width="14.5546875" style="1154" bestFit="1" customWidth="1"/>
    <col min="11" max="11" width="15.5546875" style="1154" bestFit="1" customWidth="1"/>
    <col min="12" max="12" width="14.5546875" style="1154" bestFit="1" customWidth="1"/>
    <col min="13" max="13" width="17.109375" style="1154" bestFit="1" customWidth="1"/>
    <col min="14" max="14" width="13.5546875" style="1154" bestFit="1" customWidth="1"/>
    <col min="15" max="15" width="14.5546875" style="1154" bestFit="1" customWidth="1"/>
    <col min="16" max="16" width="15.6640625" style="1154" bestFit="1" customWidth="1"/>
    <col min="17" max="17" width="16" style="1154" bestFit="1" customWidth="1"/>
    <col min="18" max="19" width="15.6640625" style="1154" bestFit="1" customWidth="1"/>
    <col min="20" max="20" width="16.6640625" style="1154" bestFit="1" customWidth="1"/>
    <col min="21" max="21" width="10" style="1154" bestFit="1" customWidth="1"/>
    <col min="22" max="22" width="17.109375" style="1154" bestFit="1" customWidth="1"/>
    <col min="23" max="23" width="13.5546875" style="1154" bestFit="1" customWidth="1"/>
    <col min="24" max="24" width="15.5546875" style="1154" bestFit="1" customWidth="1"/>
    <col min="25" max="25" width="16" style="1154" bestFit="1" customWidth="1"/>
    <col min="26" max="28" width="15.6640625" style="1154" bestFit="1" customWidth="1"/>
    <col min="29" max="29" width="14.5546875" style="1154" bestFit="1" customWidth="1"/>
    <col min="30" max="30" width="14.109375" style="1154" bestFit="1" customWidth="1"/>
    <col min="31" max="32" width="15.6640625" style="1154" bestFit="1" customWidth="1"/>
    <col min="33" max="33" width="14" style="1154" bestFit="1" customWidth="1"/>
    <col min="34" max="34" width="13.5546875" style="1154" bestFit="1" customWidth="1"/>
    <col min="35" max="35" width="14" style="1154" bestFit="1" customWidth="1"/>
    <col min="36" max="36" width="14.5546875" style="1154" bestFit="1" customWidth="1"/>
    <col min="37" max="37" width="16.6640625" style="1154" bestFit="1" customWidth="1"/>
    <col min="38" max="38" width="14.5546875" style="1154" bestFit="1" customWidth="1"/>
    <col min="39" max="39" width="13.5546875" style="1154" bestFit="1" customWidth="1"/>
    <col min="40" max="41" width="15.6640625" style="1154" bestFit="1" customWidth="1"/>
    <col min="42" max="42" width="14.5546875" style="1154" bestFit="1" customWidth="1"/>
    <col min="43" max="43" width="15.5546875" style="1154" bestFit="1" customWidth="1"/>
    <col min="44" max="44" width="17.109375" style="1154" bestFit="1" customWidth="1"/>
    <col min="45" max="45" width="15.6640625" style="1154" bestFit="1" customWidth="1"/>
    <col min="46" max="46" width="14.5546875" style="1154" bestFit="1" customWidth="1"/>
    <col min="47" max="47" width="15.6640625" style="1154" bestFit="1" customWidth="1"/>
    <col min="48" max="48" width="16.6640625" style="1154" bestFit="1" customWidth="1"/>
    <col min="49" max="50" width="14.5546875" style="1154" bestFit="1" customWidth="1"/>
    <col min="51" max="53" width="15.6640625" style="1154" bestFit="1" customWidth="1"/>
    <col min="54" max="54" width="14.109375" style="1154" bestFit="1" customWidth="1"/>
    <col min="55" max="55" width="15.6640625" style="1154" bestFit="1" customWidth="1"/>
    <col min="56" max="56" width="11.6640625" style="1154" customWidth="1"/>
    <col min="57" max="57" width="13.5546875" style="1154" bestFit="1" customWidth="1"/>
    <col min="58" max="58" width="17.109375" style="1154" bestFit="1" customWidth="1"/>
    <col min="59" max="59" width="14.6640625" style="1154" customWidth="1"/>
    <col min="60" max="60" width="13.5546875" style="1154" bestFit="1" customWidth="1"/>
    <col min="61" max="61" width="15.6640625" style="1154" bestFit="1" customWidth="1"/>
    <col min="62" max="62" width="15.5546875" style="1154" bestFit="1" customWidth="1"/>
    <col min="63" max="63" width="13.5546875" style="1154" bestFit="1" customWidth="1"/>
    <col min="64" max="65" width="15.6640625" style="1154" bestFit="1" customWidth="1"/>
    <col min="66" max="66" width="13.5546875" style="1154" bestFit="1" customWidth="1"/>
    <col min="67" max="67" width="15.6640625" style="1154" bestFit="1" customWidth="1"/>
    <col min="68" max="68" width="15.5546875" style="1154" bestFit="1" customWidth="1"/>
    <col min="69" max="69" width="15" style="1154" bestFit="1" customWidth="1"/>
    <col min="70" max="70" width="16.44140625" style="1154" bestFit="1" customWidth="1"/>
    <col min="71" max="71" width="15" style="1154" bestFit="1" customWidth="1"/>
    <col min="72" max="72" width="17.109375" style="1154" bestFit="1" customWidth="1"/>
    <col min="73" max="73" width="14.88671875" style="1154" bestFit="1" customWidth="1"/>
    <col min="74" max="74" width="15.6640625" style="1154" bestFit="1" customWidth="1"/>
    <col min="75" max="75" width="14.5546875" style="1154" bestFit="1" customWidth="1"/>
    <col min="76" max="76" width="15.6640625" style="1154" bestFit="1" customWidth="1"/>
    <col min="77" max="78" width="13.5546875" style="1154" bestFit="1" customWidth="1"/>
    <col min="79" max="79" width="15.6640625" style="1154" bestFit="1" customWidth="1"/>
    <col min="80" max="80" width="13.5546875" style="1154" bestFit="1" customWidth="1"/>
    <col min="81" max="16384" width="9.109375" style="1154"/>
  </cols>
  <sheetData>
    <row r="1" spans="1:80" s="1156" customFormat="1" ht="43.2" x14ac:dyDescent="0.3">
      <c r="A1" s="1152" t="s">
        <v>704</v>
      </c>
      <c r="B1" s="1153" t="s">
        <v>567</v>
      </c>
      <c r="C1" s="1154"/>
      <c r="D1" s="1153" t="s">
        <v>567</v>
      </c>
      <c r="E1" s="1155" t="s">
        <v>843</v>
      </c>
      <c r="F1" s="1155" t="s">
        <v>844</v>
      </c>
      <c r="G1" s="1155" t="e">
        <v>#N/A</v>
      </c>
      <c r="H1" s="1155" t="s">
        <v>846</v>
      </c>
      <c r="I1" s="1155" t="s">
        <v>847</v>
      </c>
      <c r="J1" s="1155" t="s">
        <v>848</v>
      </c>
      <c r="K1" s="1155" t="s">
        <v>849</v>
      </c>
      <c r="L1" s="1155" t="s">
        <v>850</v>
      </c>
      <c r="M1" s="1155" t="s">
        <v>851</v>
      </c>
      <c r="N1" s="1155" t="s">
        <v>852</v>
      </c>
      <c r="O1" s="1155" t="s">
        <v>853</v>
      </c>
      <c r="P1" s="1155" t="s">
        <v>854</v>
      </c>
      <c r="Q1" s="1155" t="s">
        <v>855</v>
      </c>
      <c r="R1" s="1155" t="s">
        <v>856</v>
      </c>
      <c r="S1" s="1155" t="s">
        <v>857</v>
      </c>
      <c r="T1" s="1155" t="s">
        <v>858</v>
      </c>
      <c r="U1" s="1155" t="e">
        <v>#N/A</v>
      </c>
      <c r="V1" s="1155" t="s">
        <v>860</v>
      </c>
      <c r="W1" s="1155" t="s">
        <v>861</v>
      </c>
      <c r="X1" s="1155" t="s">
        <v>862</v>
      </c>
      <c r="Y1" s="1155" t="s">
        <v>863</v>
      </c>
      <c r="Z1" s="1155" t="s">
        <v>864</v>
      </c>
      <c r="AA1" s="1155" t="s">
        <v>865</v>
      </c>
      <c r="AB1" s="1155" t="s">
        <v>866</v>
      </c>
      <c r="AC1" s="1155" t="s">
        <v>867</v>
      </c>
      <c r="AD1" s="1155" t="s">
        <v>868</v>
      </c>
      <c r="AE1" s="1155" t="s">
        <v>869</v>
      </c>
      <c r="AF1" s="1155" t="s">
        <v>870</v>
      </c>
      <c r="AG1" s="1155" t="s">
        <v>871</v>
      </c>
      <c r="AH1" s="1155" t="s">
        <v>872</v>
      </c>
      <c r="AI1" s="1155" t="s">
        <v>873</v>
      </c>
      <c r="AJ1" s="1155" t="s">
        <v>874</v>
      </c>
      <c r="AK1" s="1155" t="s">
        <v>875</v>
      </c>
      <c r="AL1" s="1155" t="s">
        <v>876</v>
      </c>
      <c r="AM1" s="1155" t="s">
        <v>877</v>
      </c>
      <c r="AN1" s="1155" t="s">
        <v>878</v>
      </c>
      <c r="AO1" s="1155" t="s">
        <v>879</v>
      </c>
      <c r="AP1" s="1155" t="s">
        <v>880</v>
      </c>
      <c r="AQ1" s="1155" t="s">
        <v>881</v>
      </c>
      <c r="AR1" s="1155" t="s">
        <v>882</v>
      </c>
      <c r="AS1" s="1155" t="s">
        <v>883</v>
      </c>
      <c r="AT1" s="1155" t="s">
        <v>884</v>
      </c>
      <c r="AU1" s="1155" t="s">
        <v>885</v>
      </c>
      <c r="AV1" s="1155" t="s">
        <v>886</v>
      </c>
      <c r="AW1" s="1155" t="s">
        <v>887</v>
      </c>
      <c r="AX1" s="1155" t="s">
        <v>888</v>
      </c>
      <c r="AY1" s="1155" t="s">
        <v>889</v>
      </c>
      <c r="AZ1" s="1155" t="s">
        <v>890</v>
      </c>
      <c r="BA1" s="1155" t="s">
        <v>891</v>
      </c>
      <c r="BB1" s="1155" t="s">
        <v>892</v>
      </c>
      <c r="BC1" s="1155" t="e">
        <v>#N/A</v>
      </c>
      <c r="BD1" s="1155" t="e">
        <v>#N/A</v>
      </c>
      <c r="BE1" s="1155" t="s">
        <v>895</v>
      </c>
      <c r="BF1" s="1155" t="s">
        <v>896</v>
      </c>
      <c r="BG1" s="1155" t="s">
        <v>897</v>
      </c>
      <c r="BH1" s="1155" t="s">
        <v>766</v>
      </c>
      <c r="BI1" s="1155" t="s">
        <v>898</v>
      </c>
      <c r="BJ1" s="1155" t="s">
        <v>899</v>
      </c>
      <c r="BK1" s="1155" t="s">
        <v>900</v>
      </c>
      <c r="BL1" s="1155" t="s">
        <v>901</v>
      </c>
      <c r="BM1" s="1155" t="s">
        <v>902</v>
      </c>
      <c r="BN1" s="1155" t="s">
        <v>903</v>
      </c>
      <c r="BO1" s="1155" t="s">
        <v>904</v>
      </c>
      <c r="BP1" s="1155" t="s">
        <v>905</v>
      </c>
      <c r="BQ1" s="1155" t="s">
        <v>906</v>
      </c>
      <c r="BR1" s="1155" t="s">
        <v>907</v>
      </c>
      <c r="BS1" s="1155" t="s">
        <v>908</v>
      </c>
      <c r="BT1" s="1155" t="s">
        <v>909</v>
      </c>
      <c r="BU1" s="1155" t="s">
        <v>910</v>
      </c>
      <c r="BV1" s="1155" t="s">
        <v>911</v>
      </c>
      <c r="BW1" s="1155" t="s">
        <v>912</v>
      </c>
      <c r="BX1" s="1155" t="s">
        <v>913</v>
      </c>
      <c r="BY1" s="1155" t="s">
        <v>914</v>
      </c>
      <c r="BZ1" s="1155" t="s">
        <v>915</v>
      </c>
      <c r="CA1" s="1155" t="s">
        <v>916</v>
      </c>
      <c r="CB1" s="1155" t="s">
        <v>917</v>
      </c>
    </row>
    <row r="2" spans="1:80" s="1156" customFormat="1" x14ac:dyDescent="0.3">
      <c r="A2" s="1157"/>
      <c r="B2" s="1158"/>
      <c r="C2" s="1158"/>
      <c r="D2" s="1158" t="s">
        <v>297</v>
      </c>
      <c r="E2" s="1159">
        <v>50476</v>
      </c>
      <c r="F2" s="1159">
        <v>50191</v>
      </c>
      <c r="G2" s="1159">
        <v>0</v>
      </c>
      <c r="H2" s="1159">
        <v>50193</v>
      </c>
      <c r="I2" s="1159">
        <v>50194</v>
      </c>
      <c r="J2" s="1159">
        <v>50195</v>
      </c>
      <c r="K2" s="1159">
        <v>50196</v>
      </c>
      <c r="L2" s="1158">
        <v>50197</v>
      </c>
      <c r="M2" s="1160">
        <v>50498</v>
      </c>
      <c r="N2" s="1158">
        <v>50198</v>
      </c>
      <c r="O2" s="1160">
        <v>50199</v>
      </c>
      <c r="P2" s="1160">
        <v>50200</v>
      </c>
      <c r="Q2" s="1160">
        <v>50201</v>
      </c>
      <c r="R2" s="1160">
        <v>50202</v>
      </c>
      <c r="S2" s="1160">
        <v>50493</v>
      </c>
      <c r="T2" s="1160">
        <v>50203</v>
      </c>
      <c r="U2" s="1160">
        <v>0</v>
      </c>
      <c r="V2" s="1160">
        <v>50204</v>
      </c>
      <c r="W2" s="1160">
        <v>50205</v>
      </c>
      <c r="X2" s="1160">
        <v>50206</v>
      </c>
      <c r="Y2" s="1160">
        <v>50207</v>
      </c>
      <c r="Z2" s="1160">
        <v>50208</v>
      </c>
      <c r="AA2" s="1160">
        <v>50209</v>
      </c>
      <c r="AB2" s="1160">
        <v>50210</v>
      </c>
      <c r="AC2" s="1160">
        <v>50519</v>
      </c>
      <c r="AD2" s="1160">
        <v>50528</v>
      </c>
      <c r="AE2" s="1160">
        <v>50211</v>
      </c>
      <c r="AF2" s="1160">
        <v>50212</v>
      </c>
      <c r="AG2" s="1160">
        <v>50213</v>
      </c>
      <c r="AH2" s="1160">
        <v>50214</v>
      </c>
      <c r="AI2" s="1160">
        <v>50215</v>
      </c>
      <c r="AJ2" s="1160">
        <v>50216</v>
      </c>
      <c r="AK2" s="1160">
        <v>50217</v>
      </c>
      <c r="AL2" s="1160">
        <v>50218</v>
      </c>
      <c r="AM2" s="1160">
        <v>50477</v>
      </c>
      <c r="AN2" s="1160">
        <v>50520</v>
      </c>
      <c r="AO2" s="1160">
        <v>50219</v>
      </c>
      <c r="AP2" s="1160">
        <v>50220</v>
      </c>
      <c r="AQ2" s="1160">
        <v>50536</v>
      </c>
      <c r="AR2" s="1160">
        <v>50221</v>
      </c>
      <c r="AS2" s="1160">
        <v>50222</v>
      </c>
      <c r="AT2" s="1160">
        <v>50223</v>
      </c>
      <c r="AU2" s="1160">
        <v>50224</v>
      </c>
      <c r="AV2" s="1160">
        <v>50225</v>
      </c>
      <c r="AW2" s="1160">
        <v>50226</v>
      </c>
      <c r="AX2" s="1160">
        <v>50227</v>
      </c>
      <c r="AY2" s="1160">
        <v>50455</v>
      </c>
      <c r="AZ2" s="1160">
        <v>50229</v>
      </c>
      <c r="BA2" s="1160">
        <v>50230</v>
      </c>
      <c r="BB2" s="1160">
        <v>50231</v>
      </c>
      <c r="BC2" s="1160">
        <v>0</v>
      </c>
      <c r="BD2" s="1160">
        <v>0</v>
      </c>
      <c r="BE2" s="1160">
        <v>50234</v>
      </c>
      <c r="BF2" s="1160">
        <v>50235</v>
      </c>
      <c r="BG2" s="1160">
        <v>50236</v>
      </c>
      <c r="BH2" s="1160">
        <v>50237</v>
      </c>
      <c r="BI2" s="1160">
        <v>50238</v>
      </c>
      <c r="BJ2" s="1160">
        <v>50444</v>
      </c>
      <c r="BK2" s="1160">
        <v>50239</v>
      </c>
      <c r="BL2" s="1160">
        <v>50240</v>
      </c>
      <c r="BM2" s="1160">
        <v>50241</v>
      </c>
      <c r="BN2" s="1160">
        <v>50521</v>
      </c>
      <c r="BO2" s="1160">
        <v>50242</v>
      </c>
      <c r="BP2" s="1160">
        <v>50244</v>
      </c>
      <c r="BQ2" s="1160">
        <v>50243</v>
      </c>
      <c r="BR2" s="1160">
        <v>50245</v>
      </c>
      <c r="BS2" s="1160">
        <v>50522</v>
      </c>
      <c r="BT2" s="1160">
        <v>50246</v>
      </c>
      <c r="BU2" s="1160">
        <v>50247</v>
      </c>
      <c r="BV2" s="1160">
        <v>50248</v>
      </c>
      <c r="BW2" s="1160">
        <v>50249</v>
      </c>
      <c r="BX2" s="1160">
        <v>50250</v>
      </c>
      <c r="BY2" s="1160">
        <v>50251</v>
      </c>
      <c r="BZ2" s="1160">
        <v>50252</v>
      </c>
      <c r="CA2" s="1160">
        <v>50253</v>
      </c>
      <c r="CB2" s="1160">
        <v>50454</v>
      </c>
    </row>
    <row r="3" spans="1:80" s="1156" customFormat="1" x14ac:dyDescent="0.3">
      <c r="A3" s="1161">
        <v>4</v>
      </c>
      <c r="B3" s="1162">
        <v>4</v>
      </c>
      <c r="C3" s="1163" t="s">
        <v>618</v>
      </c>
      <c r="D3" s="1154" t="s">
        <v>298</v>
      </c>
      <c r="E3" s="1164">
        <v>245427</v>
      </c>
      <c r="F3" s="1165">
        <v>2295495</v>
      </c>
      <c r="G3" s="1165">
        <v>0</v>
      </c>
      <c r="H3" s="1165">
        <v>1275255</v>
      </c>
      <c r="I3" s="1165">
        <v>185008</v>
      </c>
      <c r="J3" s="1165">
        <v>16448</v>
      </c>
      <c r="K3" s="1165">
        <v>15493</v>
      </c>
      <c r="L3" s="1166">
        <v>11531</v>
      </c>
      <c r="M3" s="1166">
        <v>3013422</v>
      </c>
      <c r="N3" s="1166">
        <v>14422</v>
      </c>
      <c r="O3" s="1166">
        <v>32239</v>
      </c>
      <c r="P3" s="1166">
        <v>28496</v>
      </c>
      <c r="Q3" s="1166">
        <v>1357480</v>
      </c>
      <c r="R3" s="1166">
        <v>568032</v>
      </c>
      <c r="S3" s="1166">
        <v>37650</v>
      </c>
      <c r="T3" s="1166">
        <v>710984</v>
      </c>
      <c r="U3" s="1166">
        <v>0</v>
      </c>
      <c r="V3" s="1166">
        <v>1052180</v>
      </c>
      <c r="W3" s="1166">
        <v>362</v>
      </c>
      <c r="X3" s="1166">
        <v>453989</v>
      </c>
      <c r="Y3" s="1166">
        <v>1043788</v>
      </c>
      <c r="Z3" s="1166">
        <v>215975</v>
      </c>
      <c r="AA3" s="1166">
        <v>94139</v>
      </c>
      <c r="AB3" s="1166">
        <v>272966</v>
      </c>
      <c r="AC3" s="1166">
        <v>25006</v>
      </c>
      <c r="AD3" s="1166">
        <v>65695</v>
      </c>
      <c r="AE3" s="1166">
        <v>30155</v>
      </c>
      <c r="AF3" s="1166">
        <v>85975</v>
      </c>
      <c r="AG3" s="1166">
        <v>5171</v>
      </c>
      <c r="AH3" s="1166">
        <v>1340</v>
      </c>
      <c r="AI3" s="1166">
        <v>444</v>
      </c>
      <c r="AJ3" s="1166">
        <v>91971</v>
      </c>
      <c r="AK3" s="1166">
        <v>74853</v>
      </c>
      <c r="AL3" s="1166">
        <v>34323</v>
      </c>
      <c r="AM3" s="1166">
        <v>1426</v>
      </c>
      <c r="AN3" s="1166">
        <v>1687766</v>
      </c>
      <c r="AO3" s="1166">
        <v>226233</v>
      </c>
      <c r="AP3" s="1166">
        <v>2921</v>
      </c>
      <c r="AQ3" s="1166">
        <v>451290</v>
      </c>
      <c r="AR3" s="1166">
        <v>2153430</v>
      </c>
      <c r="AS3" s="1166">
        <v>137541</v>
      </c>
      <c r="AT3" s="1166">
        <v>8529</v>
      </c>
      <c r="AU3" s="1166">
        <v>201080</v>
      </c>
      <c r="AV3" s="1166">
        <v>1102616</v>
      </c>
      <c r="AW3" s="1166">
        <v>48067</v>
      </c>
      <c r="AX3" s="1166">
        <v>24845</v>
      </c>
      <c r="AY3" s="1166">
        <v>188634</v>
      </c>
      <c r="AZ3" s="1166">
        <v>63340</v>
      </c>
      <c r="BA3" s="1166">
        <v>461708</v>
      </c>
      <c r="BB3" s="1166">
        <v>0</v>
      </c>
      <c r="BC3" s="1166">
        <v>23094</v>
      </c>
      <c r="BD3" s="1166">
        <v>0</v>
      </c>
      <c r="BE3" s="1166">
        <v>3368</v>
      </c>
      <c r="BF3" s="1166">
        <v>1535215</v>
      </c>
      <c r="BG3" s="1166">
        <v>0</v>
      </c>
      <c r="BH3" s="1166">
        <v>2267</v>
      </c>
      <c r="BI3" s="1166">
        <v>29021</v>
      </c>
      <c r="BJ3" s="1166">
        <v>101123</v>
      </c>
      <c r="BK3" s="1166">
        <v>32209</v>
      </c>
      <c r="BL3" s="1166">
        <v>119203</v>
      </c>
      <c r="BM3" s="1166">
        <v>93803</v>
      </c>
      <c r="BN3" s="1166">
        <v>0</v>
      </c>
      <c r="BO3" s="1166">
        <v>216042</v>
      </c>
      <c r="BP3" s="1166">
        <v>142073</v>
      </c>
      <c r="BQ3" s="1166">
        <v>9392</v>
      </c>
      <c r="BR3" s="1166">
        <v>8180</v>
      </c>
      <c r="BS3" s="1166">
        <v>43947</v>
      </c>
      <c r="BT3" s="1166">
        <v>2444961</v>
      </c>
      <c r="BU3" s="1166">
        <v>77427</v>
      </c>
      <c r="BV3" s="1166">
        <v>86828</v>
      </c>
      <c r="BW3" s="1166">
        <v>56807</v>
      </c>
      <c r="BX3" s="1166">
        <v>11908</v>
      </c>
      <c r="BY3" s="1166">
        <v>0</v>
      </c>
      <c r="BZ3" s="1166">
        <v>0</v>
      </c>
      <c r="CA3" s="1166">
        <v>1837544</v>
      </c>
      <c r="CB3" s="1166">
        <v>0</v>
      </c>
    </row>
    <row r="4" spans="1:80" s="1156" customFormat="1" x14ac:dyDescent="0.3">
      <c r="A4" s="1161">
        <v>5</v>
      </c>
      <c r="B4" s="1162">
        <v>5</v>
      </c>
      <c r="C4" s="1163" t="s">
        <v>120</v>
      </c>
      <c r="D4" s="1154" t="s">
        <v>299</v>
      </c>
      <c r="E4" s="1164">
        <v>0</v>
      </c>
      <c r="F4" s="1165">
        <v>142485</v>
      </c>
      <c r="G4" s="1165">
        <v>0</v>
      </c>
      <c r="H4" s="1165">
        <v>53030</v>
      </c>
      <c r="I4" s="1165">
        <v>0</v>
      </c>
      <c r="J4" s="1165">
        <v>10885</v>
      </c>
      <c r="K4" s="1165">
        <v>2365</v>
      </c>
      <c r="L4" s="1166">
        <v>26985</v>
      </c>
      <c r="M4" s="1166">
        <v>70135</v>
      </c>
      <c r="N4" s="1166">
        <v>0</v>
      </c>
      <c r="O4" s="1166">
        <v>2338</v>
      </c>
      <c r="P4" s="1166">
        <v>0</v>
      </c>
      <c r="Q4" s="1166">
        <v>0</v>
      </c>
      <c r="R4" s="1166">
        <v>0</v>
      </c>
      <c r="S4" s="1166">
        <v>0</v>
      </c>
      <c r="T4" s="1166">
        <v>0</v>
      </c>
      <c r="U4" s="1166">
        <v>0</v>
      </c>
      <c r="V4" s="1166">
        <v>139003</v>
      </c>
      <c r="W4" s="1166">
        <v>0</v>
      </c>
      <c r="X4" s="1166">
        <v>0</v>
      </c>
      <c r="Y4" s="1166">
        <v>16211</v>
      </c>
      <c r="Z4" s="1166">
        <v>0</v>
      </c>
      <c r="AA4" s="1166">
        <v>55</v>
      </c>
      <c r="AB4" s="1166">
        <v>0</v>
      </c>
      <c r="AC4" s="1166">
        <v>0</v>
      </c>
      <c r="AD4" s="1166">
        <v>0</v>
      </c>
      <c r="AE4" s="1166">
        <v>0</v>
      </c>
      <c r="AF4" s="1166">
        <v>0</v>
      </c>
      <c r="AG4" s="1166">
        <v>0</v>
      </c>
      <c r="AH4" s="1166">
        <v>0</v>
      </c>
      <c r="AI4" s="1166">
        <v>0</v>
      </c>
      <c r="AJ4" s="1166">
        <v>0</v>
      </c>
      <c r="AK4" s="1166">
        <v>27764</v>
      </c>
      <c r="AL4" s="1166">
        <v>0</v>
      </c>
      <c r="AM4" s="1166">
        <v>0</v>
      </c>
      <c r="AN4" s="1166">
        <v>0</v>
      </c>
      <c r="AO4" s="1166">
        <v>0</v>
      </c>
      <c r="AP4" s="1166">
        <v>0</v>
      </c>
      <c r="AQ4" s="1166">
        <v>0</v>
      </c>
      <c r="AR4" s="1166">
        <v>0</v>
      </c>
      <c r="AS4" s="1166">
        <v>0</v>
      </c>
      <c r="AT4" s="1166">
        <v>0</v>
      </c>
      <c r="AU4" s="1166">
        <v>3198</v>
      </c>
      <c r="AV4" s="1166">
        <v>1176</v>
      </c>
      <c r="AW4" s="1166">
        <v>0</v>
      </c>
      <c r="AX4" s="1166">
        <v>0</v>
      </c>
      <c r="AY4" s="1166">
        <v>1003</v>
      </c>
      <c r="AZ4" s="1166">
        <v>0</v>
      </c>
      <c r="BA4" s="1166">
        <v>0</v>
      </c>
      <c r="BB4" s="1166">
        <v>0</v>
      </c>
      <c r="BC4" s="1166">
        <v>0</v>
      </c>
      <c r="BD4" s="1166">
        <v>0</v>
      </c>
      <c r="BE4" s="1166">
        <v>0</v>
      </c>
      <c r="BF4" s="1166">
        <v>9801</v>
      </c>
      <c r="BG4" s="1166">
        <v>0</v>
      </c>
      <c r="BH4" s="1166">
        <v>0</v>
      </c>
      <c r="BI4" s="1166">
        <v>0</v>
      </c>
      <c r="BJ4" s="1166">
        <v>947</v>
      </c>
      <c r="BK4" s="1166">
        <v>56950</v>
      </c>
      <c r="BL4" s="1166">
        <v>2978</v>
      </c>
      <c r="BM4" s="1166">
        <v>0</v>
      </c>
      <c r="BN4" s="1166">
        <v>0</v>
      </c>
      <c r="BO4" s="1166">
        <v>9835</v>
      </c>
      <c r="BP4" s="1166">
        <v>160</v>
      </c>
      <c r="BQ4" s="1166">
        <v>0</v>
      </c>
      <c r="BR4" s="1166">
        <v>0</v>
      </c>
      <c r="BS4" s="1166">
        <v>0</v>
      </c>
      <c r="BT4" s="1166">
        <v>0</v>
      </c>
      <c r="BU4" s="1166">
        <v>0</v>
      </c>
      <c r="BV4" s="1166">
        <v>0</v>
      </c>
      <c r="BW4" s="1166">
        <v>0</v>
      </c>
      <c r="BX4" s="1166">
        <v>0</v>
      </c>
      <c r="BY4" s="1166">
        <v>0</v>
      </c>
      <c r="BZ4" s="1166">
        <v>0</v>
      </c>
      <c r="CA4" s="1166">
        <v>0</v>
      </c>
      <c r="CB4" s="1166">
        <v>0</v>
      </c>
    </row>
    <row r="5" spans="1:80" s="1156" customFormat="1" x14ac:dyDescent="0.3">
      <c r="A5" s="1161">
        <v>6</v>
      </c>
      <c r="B5" s="1162">
        <v>6</v>
      </c>
      <c r="C5" s="1163" t="s">
        <v>265</v>
      </c>
      <c r="D5" s="1154" t="s">
        <v>300</v>
      </c>
      <c r="E5" s="1164">
        <v>0</v>
      </c>
      <c r="F5" s="1165">
        <v>171428</v>
      </c>
      <c r="G5" s="1165">
        <v>0</v>
      </c>
      <c r="H5" s="1165">
        <v>849532</v>
      </c>
      <c r="I5" s="1165">
        <v>0</v>
      </c>
      <c r="J5" s="1165">
        <v>0</v>
      </c>
      <c r="K5" s="1165">
        <v>0</v>
      </c>
      <c r="L5" s="1166">
        <v>0</v>
      </c>
      <c r="M5" s="1166">
        <v>0</v>
      </c>
      <c r="N5" s="1166">
        <v>0</v>
      </c>
      <c r="O5" s="1166">
        <v>0</v>
      </c>
      <c r="P5" s="1166">
        <v>0</v>
      </c>
      <c r="Q5" s="1166">
        <v>0</v>
      </c>
      <c r="R5" s="1166">
        <v>1674810</v>
      </c>
      <c r="S5" s="1166">
        <v>0</v>
      </c>
      <c r="T5" s="1166">
        <v>0</v>
      </c>
      <c r="U5" s="1166">
        <v>0</v>
      </c>
      <c r="V5" s="1166">
        <v>348833</v>
      </c>
      <c r="W5" s="1166">
        <v>0</v>
      </c>
      <c r="X5" s="1166">
        <v>65084</v>
      </c>
      <c r="Y5" s="1166">
        <v>281117</v>
      </c>
      <c r="Z5" s="1166">
        <v>0</v>
      </c>
      <c r="AA5" s="1166">
        <v>0</v>
      </c>
      <c r="AB5" s="1166">
        <v>0</v>
      </c>
      <c r="AC5" s="1166">
        <v>0</v>
      </c>
      <c r="AD5" s="1166">
        <v>0</v>
      </c>
      <c r="AE5" s="1166">
        <v>0</v>
      </c>
      <c r="AF5" s="1166">
        <v>0</v>
      </c>
      <c r="AG5" s="1166">
        <v>0</v>
      </c>
      <c r="AH5" s="1166">
        <v>0</v>
      </c>
      <c r="AI5" s="1166">
        <v>0</v>
      </c>
      <c r="AJ5" s="1166">
        <v>0</v>
      </c>
      <c r="AK5" s="1166">
        <v>0</v>
      </c>
      <c r="AL5" s="1166">
        <v>0</v>
      </c>
      <c r="AM5" s="1166">
        <v>0</v>
      </c>
      <c r="AN5" s="1166">
        <v>3112036</v>
      </c>
      <c r="AO5" s="1166">
        <v>0</v>
      </c>
      <c r="AP5" s="1166">
        <v>0</v>
      </c>
      <c r="AQ5" s="1166">
        <v>0</v>
      </c>
      <c r="AR5" s="1166">
        <v>937427</v>
      </c>
      <c r="AS5" s="1166">
        <v>0</v>
      </c>
      <c r="AT5" s="1166">
        <v>0</v>
      </c>
      <c r="AU5" s="1166">
        <v>0</v>
      </c>
      <c r="AV5" s="1166">
        <v>0</v>
      </c>
      <c r="AW5" s="1166">
        <v>0</v>
      </c>
      <c r="AX5" s="1166">
        <v>0</v>
      </c>
      <c r="AY5" s="1166">
        <v>19953</v>
      </c>
      <c r="AZ5" s="1166">
        <v>0</v>
      </c>
      <c r="BA5" s="1166">
        <v>0</v>
      </c>
      <c r="BB5" s="1166">
        <v>0</v>
      </c>
      <c r="BC5" s="1166">
        <v>0</v>
      </c>
      <c r="BD5" s="1166">
        <v>0</v>
      </c>
      <c r="BE5" s="1166">
        <v>0</v>
      </c>
      <c r="BF5" s="1166">
        <v>0</v>
      </c>
      <c r="BG5" s="1166">
        <v>0</v>
      </c>
      <c r="BH5" s="1166">
        <v>0</v>
      </c>
      <c r="BI5" s="1166">
        <v>0</v>
      </c>
      <c r="BJ5" s="1166">
        <v>133531</v>
      </c>
      <c r="BK5" s="1166">
        <v>0</v>
      </c>
      <c r="BL5" s="1166">
        <v>141268</v>
      </c>
      <c r="BM5" s="1166">
        <v>0</v>
      </c>
      <c r="BN5" s="1166">
        <v>0</v>
      </c>
      <c r="BO5" s="1166">
        <v>0</v>
      </c>
      <c r="BP5" s="1166">
        <v>0</v>
      </c>
      <c r="BQ5" s="1166">
        <v>0</v>
      </c>
      <c r="BR5" s="1166">
        <v>0</v>
      </c>
      <c r="BS5" s="1166">
        <v>0</v>
      </c>
      <c r="BT5" s="1166">
        <v>0</v>
      </c>
      <c r="BU5" s="1166">
        <v>0</v>
      </c>
      <c r="BV5" s="1166">
        <v>0</v>
      </c>
      <c r="BW5" s="1166">
        <v>0</v>
      </c>
      <c r="BX5" s="1166">
        <v>335000</v>
      </c>
      <c r="BY5" s="1166">
        <v>0</v>
      </c>
      <c r="BZ5" s="1166">
        <v>0</v>
      </c>
      <c r="CA5" s="1166">
        <v>276871</v>
      </c>
      <c r="CB5" s="1166">
        <v>0</v>
      </c>
    </row>
    <row r="6" spans="1:80" s="1156" customFormat="1" x14ac:dyDescent="0.3">
      <c r="A6" s="1161">
        <v>7</v>
      </c>
      <c r="B6" s="1162">
        <v>7</v>
      </c>
      <c r="C6" s="1163" t="s">
        <v>202</v>
      </c>
      <c r="D6" s="1154" t="s">
        <v>301</v>
      </c>
      <c r="E6" s="1164">
        <v>26560</v>
      </c>
      <c r="F6" s="1165">
        <v>3823</v>
      </c>
      <c r="G6" s="1165">
        <v>0</v>
      </c>
      <c r="H6" s="1165">
        <v>2097493</v>
      </c>
      <c r="I6" s="1165">
        <v>69327</v>
      </c>
      <c r="J6" s="1165">
        <v>0</v>
      </c>
      <c r="K6" s="1165">
        <v>0</v>
      </c>
      <c r="L6" s="1166">
        <v>0</v>
      </c>
      <c r="M6" s="1166">
        <v>112475</v>
      </c>
      <c r="N6" s="1166">
        <v>0</v>
      </c>
      <c r="O6" s="1166">
        <v>0</v>
      </c>
      <c r="P6" s="1166">
        <v>0</v>
      </c>
      <c r="Q6" s="1166">
        <v>15127</v>
      </c>
      <c r="R6" s="1166">
        <v>166569</v>
      </c>
      <c r="S6" s="1166">
        <v>0</v>
      </c>
      <c r="T6" s="1166">
        <v>29555</v>
      </c>
      <c r="U6" s="1166">
        <v>0</v>
      </c>
      <c r="V6" s="1166">
        <v>99731</v>
      </c>
      <c r="W6" s="1166">
        <v>0</v>
      </c>
      <c r="X6" s="1166">
        <v>30956</v>
      </c>
      <c r="Y6" s="1166">
        <v>43691</v>
      </c>
      <c r="Z6" s="1166">
        <v>0</v>
      </c>
      <c r="AA6" s="1166">
        <v>54075</v>
      </c>
      <c r="AB6" s="1166">
        <v>780</v>
      </c>
      <c r="AC6" s="1166">
        <v>2676</v>
      </c>
      <c r="AD6" s="1166">
        <v>0</v>
      </c>
      <c r="AE6" s="1166">
        <v>0</v>
      </c>
      <c r="AF6" s="1166">
        <v>0</v>
      </c>
      <c r="AG6" s="1166">
        <v>0</v>
      </c>
      <c r="AH6" s="1166">
        <v>0</v>
      </c>
      <c r="AI6" s="1166">
        <v>0</v>
      </c>
      <c r="AJ6" s="1166">
        <v>0</v>
      </c>
      <c r="AK6" s="1166">
        <v>39362</v>
      </c>
      <c r="AL6" s="1166">
        <v>660</v>
      </c>
      <c r="AM6" s="1166">
        <v>0</v>
      </c>
      <c r="AN6" s="1166">
        <v>0</v>
      </c>
      <c r="AO6" s="1166">
        <v>0</v>
      </c>
      <c r="AP6" s="1166">
        <v>0</v>
      </c>
      <c r="AQ6" s="1166">
        <v>0</v>
      </c>
      <c r="AR6" s="1166">
        <v>4000</v>
      </c>
      <c r="AS6" s="1166">
        <v>4392</v>
      </c>
      <c r="AT6" s="1166">
        <v>0</v>
      </c>
      <c r="AU6" s="1166">
        <v>16791</v>
      </c>
      <c r="AV6" s="1166">
        <v>19455</v>
      </c>
      <c r="AW6" s="1166">
        <v>0</v>
      </c>
      <c r="AX6" s="1166">
        <v>0</v>
      </c>
      <c r="AY6" s="1166">
        <v>160156</v>
      </c>
      <c r="AZ6" s="1166">
        <v>14953</v>
      </c>
      <c r="BA6" s="1166">
        <v>0</v>
      </c>
      <c r="BB6" s="1166">
        <v>0</v>
      </c>
      <c r="BC6" s="1166">
        <v>0</v>
      </c>
      <c r="BD6" s="1166">
        <v>0</v>
      </c>
      <c r="BE6" s="1166">
        <v>0</v>
      </c>
      <c r="BF6" s="1166">
        <v>125926</v>
      </c>
      <c r="BG6" s="1166">
        <v>0</v>
      </c>
      <c r="BH6" s="1166">
        <v>0</v>
      </c>
      <c r="BI6" s="1166">
        <v>0</v>
      </c>
      <c r="BJ6" s="1166">
        <v>28935</v>
      </c>
      <c r="BK6" s="1166">
        <v>0</v>
      </c>
      <c r="BL6" s="1166">
        <v>5100</v>
      </c>
      <c r="BM6" s="1166">
        <v>18</v>
      </c>
      <c r="BN6" s="1166">
        <v>0</v>
      </c>
      <c r="BO6" s="1166">
        <v>28663</v>
      </c>
      <c r="BP6" s="1166">
        <v>0</v>
      </c>
      <c r="BQ6" s="1166">
        <v>4000</v>
      </c>
      <c r="BR6" s="1166">
        <v>0</v>
      </c>
      <c r="BS6" s="1166">
        <v>900</v>
      </c>
      <c r="BT6" s="1166">
        <v>114980</v>
      </c>
      <c r="BU6" s="1166">
        <v>0</v>
      </c>
      <c r="BV6" s="1166">
        <v>0</v>
      </c>
      <c r="BW6" s="1166">
        <v>0</v>
      </c>
      <c r="BX6" s="1166">
        <v>0</v>
      </c>
      <c r="BY6" s="1166">
        <v>0</v>
      </c>
      <c r="BZ6" s="1166">
        <v>0</v>
      </c>
      <c r="CA6" s="1166">
        <v>168052</v>
      </c>
      <c r="CB6" s="1166">
        <v>0</v>
      </c>
    </row>
    <row r="7" spans="1:80" s="1156" customFormat="1" x14ac:dyDescent="0.3">
      <c r="A7" s="1161">
        <v>9</v>
      </c>
      <c r="B7" s="1162">
        <v>9</v>
      </c>
      <c r="C7" s="1163" t="s">
        <v>204</v>
      </c>
      <c r="D7" s="1154" t="s">
        <v>302</v>
      </c>
      <c r="E7" s="1164">
        <v>429284</v>
      </c>
      <c r="F7" s="1165">
        <v>21768379</v>
      </c>
      <c r="G7" s="1165">
        <v>0</v>
      </c>
      <c r="H7" s="1165">
        <v>38989391</v>
      </c>
      <c r="I7" s="1165">
        <v>4985343</v>
      </c>
      <c r="J7" s="1165">
        <v>569092</v>
      </c>
      <c r="K7" s="1165">
        <v>2587402</v>
      </c>
      <c r="L7" s="1166">
        <v>1496861</v>
      </c>
      <c r="M7" s="1166">
        <v>20866134</v>
      </c>
      <c r="N7" s="1166">
        <v>247108</v>
      </c>
      <c r="O7" s="1166">
        <v>802069</v>
      </c>
      <c r="P7" s="1166">
        <v>689141</v>
      </c>
      <c r="Q7" s="1166">
        <v>15903212</v>
      </c>
      <c r="R7" s="1166">
        <v>19763267</v>
      </c>
      <c r="S7" s="1166">
        <v>3216216</v>
      </c>
      <c r="T7" s="1166">
        <v>9258255</v>
      </c>
      <c r="U7" s="1166">
        <v>0</v>
      </c>
      <c r="V7" s="1166">
        <v>7041030</v>
      </c>
      <c r="W7" s="1166">
        <v>269519</v>
      </c>
      <c r="X7" s="1166">
        <v>12853917</v>
      </c>
      <c r="Y7" s="1166">
        <v>7652785</v>
      </c>
      <c r="Z7" s="1166">
        <v>5096810</v>
      </c>
      <c r="AA7" s="1166">
        <v>2160678</v>
      </c>
      <c r="AB7" s="1166">
        <v>4379347</v>
      </c>
      <c r="AC7" s="1166">
        <v>1463847</v>
      </c>
      <c r="AD7" s="1166">
        <v>232951</v>
      </c>
      <c r="AE7" s="1166">
        <v>1521087</v>
      </c>
      <c r="AF7" s="1166">
        <v>1950858</v>
      </c>
      <c r="AG7" s="1166">
        <v>96417</v>
      </c>
      <c r="AH7" s="1166">
        <v>75718</v>
      </c>
      <c r="AI7" s="1166">
        <v>300862</v>
      </c>
      <c r="AJ7" s="1166">
        <v>2192299</v>
      </c>
      <c r="AK7" s="1166">
        <v>2613415</v>
      </c>
      <c r="AL7" s="1166">
        <v>323095</v>
      </c>
      <c r="AM7" s="1166">
        <v>117153</v>
      </c>
      <c r="AN7" s="1166">
        <v>12793920</v>
      </c>
      <c r="AO7" s="1166">
        <v>12321524</v>
      </c>
      <c r="AP7" s="1166">
        <v>676487</v>
      </c>
      <c r="AQ7" s="1166">
        <v>7789193</v>
      </c>
      <c r="AR7" s="1166">
        <v>11689616</v>
      </c>
      <c r="AS7" s="1166">
        <v>2970272</v>
      </c>
      <c r="AT7" s="1166">
        <v>485484</v>
      </c>
      <c r="AU7" s="1166">
        <v>3106649</v>
      </c>
      <c r="AV7" s="1166">
        <v>6848623</v>
      </c>
      <c r="AW7" s="1166">
        <v>157363</v>
      </c>
      <c r="AX7" s="1166">
        <v>546024</v>
      </c>
      <c r="AY7" s="1166">
        <v>3528591</v>
      </c>
      <c r="AZ7" s="1166">
        <v>3056307</v>
      </c>
      <c r="BA7" s="1166">
        <v>2171109</v>
      </c>
      <c r="BB7" s="1166">
        <v>120196</v>
      </c>
      <c r="BC7" s="1166">
        <v>1888089</v>
      </c>
      <c r="BD7" s="1166">
        <v>0</v>
      </c>
      <c r="BE7" s="1166">
        <v>396404</v>
      </c>
      <c r="BF7" s="1166">
        <v>5383411</v>
      </c>
      <c r="BG7" s="1166">
        <v>0</v>
      </c>
      <c r="BH7" s="1166">
        <v>181450</v>
      </c>
      <c r="BI7" s="1166">
        <v>2960874</v>
      </c>
      <c r="BJ7" s="1166">
        <v>3702072</v>
      </c>
      <c r="BK7" s="1166">
        <v>613542</v>
      </c>
      <c r="BL7" s="1166">
        <v>3326834</v>
      </c>
      <c r="BM7" s="1166">
        <v>6097828</v>
      </c>
      <c r="BN7" s="1166">
        <v>141989</v>
      </c>
      <c r="BO7" s="1166">
        <v>4478753</v>
      </c>
      <c r="BP7" s="1166">
        <v>3695204</v>
      </c>
      <c r="BQ7" s="1166">
        <v>1690464</v>
      </c>
      <c r="BR7" s="1166">
        <v>3032233</v>
      </c>
      <c r="BS7" s="1166">
        <v>2116025</v>
      </c>
      <c r="BT7" s="1166">
        <v>11000469</v>
      </c>
      <c r="BU7" s="1166">
        <v>2441166</v>
      </c>
      <c r="BV7" s="1166">
        <v>1969129</v>
      </c>
      <c r="BW7" s="1166">
        <v>543137</v>
      </c>
      <c r="BX7" s="1166">
        <v>1314817</v>
      </c>
      <c r="BY7" s="1166">
        <v>186628</v>
      </c>
      <c r="BZ7" s="1166">
        <v>216749</v>
      </c>
      <c r="CA7" s="1166">
        <v>14842317</v>
      </c>
      <c r="CB7" s="1166">
        <v>102882</v>
      </c>
    </row>
    <row r="8" spans="1:80" s="1156" customFormat="1" x14ac:dyDescent="0.3">
      <c r="A8" s="1161">
        <v>11</v>
      </c>
      <c r="B8" s="1162">
        <v>11</v>
      </c>
      <c r="C8" s="1163" t="s">
        <v>203</v>
      </c>
      <c r="D8" s="1154" t="s">
        <v>303</v>
      </c>
      <c r="E8" s="1164">
        <v>0</v>
      </c>
      <c r="F8" s="1165">
        <v>2029325</v>
      </c>
      <c r="G8" s="1165">
        <v>0</v>
      </c>
      <c r="H8" s="1165">
        <v>984875</v>
      </c>
      <c r="I8" s="1165">
        <v>396635</v>
      </c>
      <c r="J8" s="1165">
        <v>109640</v>
      </c>
      <c r="K8" s="1165">
        <v>6901</v>
      </c>
      <c r="L8" s="1166">
        <v>43436</v>
      </c>
      <c r="M8" s="1166">
        <v>1487970</v>
      </c>
      <c r="N8" s="1166">
        <v>38638</v>
      </c>
      <c r="O8" s="1166">
        <v>161775</v>
      </c>
      <c r="P8" s="1166">
        <v>41079</v>
      </c>
      <c r="Q8" s="1166">
        <v>0</v>
      </c>
      <c r="R8" s="1166">
        <v>50547</v>
      </c>
      <c r="S8" s="1166">
        <v>16597</v>
      </c>
      <c r="T8" s="1166">
        <v>166422</v>
      </c>
      <c r="U8" s="1166">
        <v>0</v>
      </c>
      <c r="V8" s="1166">
        <v>0</v>
      </c>
      <c r="W8" s="1166">
        <v>102760</v>
      </c>
      <c r="X8" s="1166">
        <v>158715</v>
      </c>
      <c r="Y8" s="1166">
        <v>784758</v>
      </c>
      <c r="Z8" s="1166">
        <v>255260</v>
      </c>
      <c r="AA8" s="1166">
        <v>340798</v>
      </c>
      <c r="AB8" s="1166">
        <v>3658</v>
      </c>
      <c r="AC8" s="1166">
        <v>247603</v>
      </c>
      <c r="AD8" s="1166">
        <v>8427</v>
      </c>
      <c r="AE8" s="1166">
        <v>117498</v>
      </c>
      <c r="AF8" s="1166">
        <v>261747</v>
      </c>
      <c r="AG8" s="1166">
        <v>18748</v>
      </c>
      <c r="AH8" s="1166">
        <v>5594</v>
      </c>
      <c r="AI8" s="1166">
        <v>162029</v>
      </c>
      <c r="AJ8" s="1166">
        <v>0</v>
      </c>
      <c r="AK8" s="1166">
        <v>0</v>
      </c>
      <c r="AL8" s="1166">
        <v>43934</v>
      </c>
      <c r="AM8" s="1166">
        <v>0</v>
      </c>
      <c r="AN8" s="1166">
        <v>531240</v>
      </c>
      <c r="AO8" s="1166">
        <v>0</v>
      </c>
      <c r="AP8" s="1166">
        <v>64898</v>
      </c>
      <c r="AQ8" s="1166">
        <v>530377</v>
      </c>
      <c r="AR8" s="1166">
        <v>0</v>
      </c>
      <c r="AS8" s="1166">
        <v>145704</v>
      </c>
      <c r="AT8" s="1166">
        <v>27462</v>
      </c>
      <c r="AU8" s="1166">
        <v>112874</v>
      </c>
      <c r="AV8" s="1166">
        <v>369558</v>
      </c>
      <c r="AW8" s="1166">
        <v>3181</v>
      </c>
      <c r="AX8" s="1166">
        <v>101260</v>
      </c>
      <c r="AY8" s="1166">
        <v>67380</v>
      </c>
      <c r="AZ8" s="1166">
        <v>564647</v>
      </c>
      <c r="BA8" s="1166">
        <v>67700</v>
      </c>
      <c r="BB8" s="1166">
        <v>0</v>
      </c>
      <c r="BC8" s="1166">
        <v>476510</v>
      </c>
      <c r="BD8" s="1166">
        <v>0</v>
      </c>
      <c r="BE8" s="1166">
        <v>8482</v>
      </c>
      <c r="BF8" s="1166">
        <v>32518</v>
      </c>
      <c r="BG8" s="1166">
        <v>0</v>
      </c>
      <c r="BH8" s="1166">
        <v>23601</v>
      </c>
      <c r="BI8" s="1166">
        <v>7771</v>
      </c>
      <c r="BJ8" s="1166">
        <v>123884</v>
      </c>
      <c r="BK8" s="1166">
        <v>150714</v>
      </c>
      <c r="BL8" s="1166">
        <v>165121</v>
      </c>
      <c r="BM8" s="1166">
        <v>61161</v>
      </c>
      <c r="BN8" s="1166">
        <v>0</v>
      </c>
      <c r="BO8" s="1166">
        <v>214857</v>
      </c>
      <c r="BP8" s="1166">
        <v>141279</v>
      </c>
      <c r="BQ8" s="1166">
        <v>147781</v>
      </c>
      <c r="BR8" s="1166">
        <v>170778</v>
      </c>
      <c r="BS8" s="1166">
        <v>18341</v>
      </c>
      <c r="BT8" s="1166">
        <v>482455</v>
      </c>
      <c r="BU8" s="1166">
        <v>28016</v>
      </c>
      <c r="BV8" s="1166">
        <v>121554</v>
      </c>
      <c r="BW8" s="1166">
        <v>0</v>
      </c>
      <c r="BX8" s="1166">
        <v>52790</v>
      </c>
      <c r="BY8" s="1166">
        <v>20509</v>
      </c>
      <c r="BZ8" s="1166">
        <v>18656</v>
      </c>
      <c r="CA8" s="1166">
        <v>0</v>
      </c>
      <c r="CB8" s="1166">
        <v>5028</v>
      </c>
    </row>
    <row r="9" spans="1:80" s="1156" customFormat="1" ht="28.8" x14ac:dyDescent="0.3">
      <c r="A9" s="1154"/>
      <c r="B9" s="1162">
        <v>12</v>
      </c>
      <c r="C9" s="1163" t="s">
        <v>619</v>
      </c>
      <c r="D9" s="1154" t="s">
        <v>304</v>
      </c>
      <c r="E9" s="1164"/>
      <c r="F9" s="1165"/>
      <c r="G9" s="1165"/>
      <c r="H9" s="1165"/>
      <c r="I9" s="1165"/>
      <c r="J9" s="1165"/>
      <c r="K9" s="1165"/>
      <c r="L9" s="1166"/>
      <c r="M9" s="1166"/>
      <c r="N9" s="1166"/>
      <c r="O9" s="1166"/>
      <c r="P9" s="1166"/>
      <c r="Q9" s="1166"/>
      <c r="R9" s="1166"/>
      <c r="S9" s="1166"/>
      <c r="T9" s="1166"/>
      <c r="U9" s="1166"/>
      <c r="V9" s="1166"/>
      <c r="W9" s="1166"/>
      <c r="X9" s="1166"/>
      <c r="Y9" s="1166"/>
      <c r="Z9" s="1166"/>
      <c r="AA9" s="1166"/>
      <c r="AB9" s="1166"/>
      <c r="AC9" s="1166"/>
      <c r="AD9" s="1166"/>
      <c r="AE9" s="1166"/>
      <c r="AF9" s="1166"/>
      <c r="AG9" s="1166"/>
      <c r="AH9" s="1166"/>
      <c r="AI9" s="1166"/>
      <c r="AJ9" s="1166"/>
      <c r="AK9" s="1166"/>
      <c r="AL9" s="1166"/>
      <c r="AM9" s="1166"/>
      <c r="AN9" s="1166"/>
      <c r="AO9" s="1166"/>
      <c r="AP9" s="1166"/>
      <c r="AQ9" s="1166"/>
      <c r="AR9" s="1166"/>
      <c r="AS9" s="1166"/>
      <c r="AT9" s="1166"/>
      <c r="AU9" s="1166"/>
      <c r="AV9" s="1166"/>
      <c r="AW9" s="1166"/>
      <c r="AX9" s="1166"/>
      <c r="AY9" s="1166"/>
      <c r="AZ9" s="1166"/>
      <c r="BA9" s="1166"/>
      <c r="BB9" s="1166"/>
      <c r="BC9" s="1166"/>
      <c r="BD9" s="1166"/>
      <c r="BE9" s="1166"/>
      <c r="BF9" s="1166"/>
      <c r="BG9" s="1166"/>
      <c r="BH9" s="1166"/>
      <c r="BI9" s="1166"/>
      <c r="BJ9" s="1166"/>
      <c r="BK9" s="1166"/>
      <c r="BL9" s="1166"/>
      <c r="BM9" s="1166"/>
      <c r="BN9" s="1166"/>
      <c r="BO9" s="1166"/>
      <c r="BP9" s="1166"/>
      <c r="BQ9" s="1166"/>
      <c r="BR9" s="1166"/>
      <c r="BS9" s="1166"/>
      <c r="BT9" s="1166"/>
      <c r="BU9" s="1166"/>
      <c r="BV9" s="1166"/>
      <c r="BW9" s="1166"/>
      <c r="BX9" s="1166"/>
      <c r="BY9" s="1166"/>
      <c r="BZ9" s="1166"/>
      <c r="CA9" s="1166"/>
      <c r="CB9" s="1166"/>
    </row>
    <row r="10" spans="1:80" s="1156" customFormat="1" ht="28.8" x14ac:dyDescent="0.3">
      <c r="A10" s="1154"/>
      <c r="B10" s="1162">
        <v>13</v>
      </c>
      <c r="C10" s="1163" t="s">
        <v>620</v>
      </c>
      <c r="D10" s="1154" t="s">
        <v>305</v>
      </c>
      <c r="E10" s="1164"/>
      <c r="F10" s="1165"/>
      <c r="G10" s="1165"/>
      <c r="H10" s="1165"/>
      <c r="I10" s="1165"/>
      <c r="J10" s="1165"/>
      <c r="K10" s="1165"/>
      <c r="L10" s="1166"/>
      <c r="M10" s="1166"/>
      <c r="N10" s="1166"/>
      <c r="O10" s="1166"/>
      <c r="P10" s="1166"/>
      <c r="Q10" s="1166"/>
      <c r="R10" s="1166"/>
      <c r="S10" s="1166"/>
      <c r="T10" s="1166"/>
      <c r="U10" s="1166"/>
      <c r="V10" s="1166"/>
      <c r="W10" s="1166"/>
      <c r="X10" s="1166"/>
      <c r="Y10" s="1166"/>
      <c r="Z10" s="1166"/>
      <c r="AA10" s="1166"/>
      <c r="AB10" s="1166"/>
      <c r="AC10" s="1166"/>
      <c r="AD10" s="1166"/>
      <c r="AE10" s="1166"/>
      <c r="AF10" s="1166"/>
      <c r="AG10" s="1166"/>
      <c r="AH10" s="1166"/>
      <c r="AI10" s="1166"/>
      <c r="AJ10" s="1166"/>
      <c r="AK10" s="1166"/>
      <c r="AL10" s="1166"/>
      <c r="AM10" s="1166"/>
      <c r="AN10" s="1166"/>
      <c r="AO10" s="1166"/>
      <c r="AP10" s="1166"/>
      <c r="AQ10" s="1166"/>
      <c r="AR10" s="1166"/>
      <c r="AS10" s="1166"/>
      <c r="AT10" s="1166"/>
      <c r="AU10" s="1166"/>
      <c r="AV10" s="1166"/>
      <c r="AW10" s="1166"/>
      <c r="AX10" s="1166"/>
      <c r="AY10" s="1166"/>
      <c r="AZ10" s="1166"/>
      <c r="BA10" s="1166"/>
      <c r="BB10" s="1166"/>
      <c r="BC10" s="1166"/>
      <c r="BD10" s="1166"/>
      <c r="BE10" s="1166"/>
      <c r="BF10" s="1166"/>
      <c r="BG10" s="1166"/>
      <c r="BH10" s="1166"/>
      <c r="BI10" s="1166"/>
      <c r="BJ10" s="1166"/>
      <c r="BK10" s="1166"/>
      <c r="BL10" s="1166"/>
      <c r="BM10" s="1166"/>
      <c r="BN10" s="1166"/>
      <c r="BO10" s="1166"/>
      <c r="BP10" s="1166"/>
      <c r="BQ10" s="1166"/>
      <c r="BR10" s="1166"/>
      <c r="BS10" s="1166"/>
      <c r="BT10" s="1166"/>
      <c r="BU10" s="1166"/>
      <c r="BV10" s="1166"/>
      <c r="BW10" s="1166"/>
      <c r="BX10" s="1166"/>
      <c r="BY10" s="1166"/>
      <c r="BZ10" s="1166"/>
      <c r="CA10" s="1166"/>
      <c r="CB10" s="1166"/>
    </row>
    <row r="11" spans="1:80" s="1156" customFormat="1" x14ac:dyDescent="0.3">
      <c r="A11" s="1154"/>
      <c r="B11" s="1162">
        <v>14</v>
      </c>
      <c r="C11" s="1163" t="s">
        <v>306</v>
      </c>
      <c r="D11" s="1154" t="s">
        <v>307</v>
      </c>
      <c r="E11" s="1164"/>
      <c r="F11" s="1165"/>
      <c r="G11" s="1165"/>
      <c r="H11" s="1165"/>
      <c r="I11" s="1165"/>
      <c r="J11" s="1165"/>
      <c r="K11" s="1165"/>
      <c r="L11" s="1166"/>
      <c r="M11" s="1166"/>
      <c r="N11" s="1166"/>
      <c r="O11" s="1166"/>
      <c r="P11" s="1166"/>
      <c r="Q11" s="1166"/>
      <c r="R11" s="1166"/>
      <c r="S11" s="1166"/>
      <c r="T11" s="1166"/>
      <c r="U11" s="1166"/>
      <c r="V11" s="1166"/>
      <c r="W11" s="1166"/>
      <c r="X11" s="1166"/>
      <c r="Y11" s="1166"/>
      <c r="Z11" s="1166"/>
      <c r="AA11" s="1166"/>
      <c r="AB11" s="1166"/>
      <c r="AC11" s="1166"/>
      <c r="AD11" s="1166"/>
      <c r="AE11" s="1166"/>
      <c r="AF11" s="1166"/>
      <c r="AG11" s="1166"/>
      <c r="AH11" s="1166"/>
      <c r="AI11" s="1166"/>
      <c r="AJ11" s="1166"/>
      <c r="AK11" s="1166"/>
      <c r="AL11" s="1166"/>
      <c r="AM11" s="1166"/>
      <c r="AN11" s="1166"/>
      <c r="AO11" s="1166"/>
      <c r="AP11" s="1166"/>
      <c r="AQ11" s="1166"/>
      <c r="AR11" s="1166"/>
      <c r="AS11" s="1166"/>
      <c r="AT11" s="1166"/>
      <c r="AU11" s="1166"/>
      <c r="AV11" s="1166"/>
      <c r="AW11" s="1166"/>
      <c r="AX11" s="1166"/>
      <c r="AY11" s="1166"/>
      <c r="AZ11" s="1166"/>
      <c r="BA11" s="1166"/>
      <c r="BB11" s="1166"/>
      <c r="BC11" s="1166"/>
      <c r="BD11" s="1166"/>
      <c r="BE11" s="1166"/>
      <c r="BF11" s="1166"/>
      <c r="BG11" s="1166"/>
      <c r="BH11" s="1166"/>
      <c r="BI11" s="1166"/>
      <c r="BJ11" s="1166"/>
      <c r="BK11" s="1166"/>
      <c r="BL11" s="1166"/>
      <c r="BM11" s="1166"/>
      <c r="BN11" s="1166"/>
      <c r="BO11" s="1166"/>
      <c r="BP11" s="1166"/>
      <c r="BQ11" s="1166"/>
      <c r="BR11" s="1166"/>
      <c r="BS11" s="1166"/>
      <c r="BT11" s="1166"/>
      <c r="BU11" s="1166"/>
      <c r="BV11" s="1166"/>
      <c r="BW11" s="1166"/>
      <c r="BX11" s="1166"/>
      <c r="BY11" s="1166"/>
      <c r="BZ11" s="1166"/>
      <c r="CA11" s="1166"/>
      <c r="CB11" s="1166"/>
    </row>
    <row r="12" spans="1:80" s="1156" customFormat="1" x14ac:dyDescent="0.3">
      <c r="A12" s="1161">
        <v>16</v>
      </c>
      <c r="B12" s="1162">
        <v>16</v>
      </c>
      <c r="C12" s="1163" t="s">
        <v>206</v>
      </c>
      <c r="D12" s="1154" t="s">
        <v>308</v>
      </c>
      <c r="E12" s="1164">
        <v>1953305</v>
      </c>
      <c r="F12" s="1165">
        <v>13846104</v>
      </c>
      <c r="G12" s="1165">
        <v>0</v>
      </c>
      <c r="H12" s="1165">
        <v>45858561</v>
      </c>
      <c r="I12" s="1165">
        <v>4662714</v>
      </c>
      <c r="J12" s="1165">
        <v>269245</v>
      </c>
      <c r="K12" s="1165">
        <v>1398533</v>
      </c>
      <c r="L12" s="1166">
        <v>2000548</v>
      </c>
      <c r="M12" s="1166">
        <v>46656920</v>
      </c>
      <c r="N12" s="1166">
        <v>102279</v>
      </c>
      <c r="O12" s="1166">
        <v>1105257</v>
      </c>
      <c r="P12" s="1166">
        <v>1771934</v>
      </c>
      <c r="Q12" s="1166">
        <v>31734741</v>
      </c>
      <c r="R12" s="1166">
        <v>18323845</v>
      </c>
      <c r="S12" s="1166">
        <v>6927012</v>
      </c>
      <c r="T12" s="1166">
        <v>14661330</v>
      </c>
      <c r="U12" s="1166">
        <v>0</v>
      </c>
      <c r="V12" s="1166">
        <v>19857836</v>
      </c>
      <c r="W12" s="1166">
        <v>29527</v>
      </c>
      <c r="X12" s="1166">
        <v>10446431</v>
      </c>
      <c r="Y12" s="1166">
        <v>15098605</v>
      </c>
      <c r="Z12" s="1166">
        <v>6147173</v>
      </c>
      <c r="AA12" s="1166">
        <v>1712594</v>
      </c>
      <c r="AB12" s="1166">
        <v>6381029</v>
      </c>
      <c r="AC12" s="1166">
        <v>1325112</v>
      </c>
      <c r="AD12" s="1166">
        <v>295820</v>
      </c>
      <c r="AE12" s="1166">
        <v>1281201</v>
      </c>
      <c r="AF12" s="1166">
        <v>3535234</v>
      </c>
      <c r="AG12" s="1166">
        <v>105400</v>
      </c>
      <c r="AH12" s="1166">
        <v>47678</v>
      </c>
      <c r="AI12" s="1166">
        <v>86735</v>
      </c>
      <c r="AJ12" s="1166">
        <v>2998639</v>
      </c>
      <c r="AK12" s="1166">
        <v>7472435</v>
      </c>
      <c r="AL12" s="1166">
        <v>246024</v>
      </c>
      <c r="AM12" s="1166">
        <v>29503</v>
      </c>
      <c r="AN12" s="1166">
        <v>20208450</v>
      </c>
      <c r="AO12" s="1166">
        <v>19279006</v>
      </c>
      <c r="AP12" s="1166">
        <v>383305</v>
      </c>
      <c r="AQ12" s="1166">
        <v>4846725</v>
      </c>
      <c r="AR12" s="1166">
        <v>22031457</v>
      </c>
      <c r="AS12" s="1166">
        <v>2809406</v>
      </c>
      <c r="AT12" s="1166">
        <v>678746</v>
      </c>
      <c r="AU12" s="1166">
        <v>4859861</v>
      </c>
      <c r="AV12" s="1166">
        <v>12109855</v>
      </c>
      <c r="AW12" s="1166">
        <v>106072</v>
      </c>
      <c r="AX12" s="1166">
        <v>778926</v>
      </c>
      <c r="AY12" s="1166">
        <v>3410780</v>
      </c>
      <c r="AZ12" s="1166">
        <v>4379291</v>
      </c>
      <c r="BA12" s="1166">
        <v>3472693</v>
      </c>
      <c r="BB12" s="1166">
        <v>81223</v>
      </c>
      <c r="BC12" s="1166">
        <v>2631094</v>
      </c>
      <c r="BD12" s="1166">
        <v>0</v>
      </c>
      <c r="BE12" s="1166">
        <v>84302</v>
      </c>
      <c r="BF12" s="1166">
        <v>26494470</v>
      </c>
      <c r="BG12" s="1166">
        <v>0</v>
      </c>
      <c r="BH12" s="1166">
        <v>70120</v>
      </c>
      <c r="BI12" s="1166">
        <v>3219607</v>
      </c>
      <c r="BJ12" s="1166">
        <v>2949536</v>
      </c>
      <c r="BK12" s="1166">
        <v>652966</v>
      </c>
      <c r="BL12" s="1166">
        <v>9118916</v>
      </c>
      <c r="BM12" s="1166">
        <v>4349680</v>
      </c>
      <c r="BN12" s="1166">
        <v>50974</v>
      </c>
      <c r="BO12" s="1166">
        <v>7173239</v>
      </c>
      <c r="BP12" s="1166">
        <v>2093171</v>
      </c>
      <c r="BQ12" s="1166">
        <v>1057933</v>
      </c>
      <c r="BR12" s="1166">
        <v>2029840</v>
      </c>
      <c r="BS12" s="1166">
        <v>1604987</v>
      </c>
      <c r="BT12" s="1166">
        <v>23576257</v>
      </c>
      <c r="BU12" s="1166">
        <v>2098257</v>
      </c>
      <c r="BV12" s="1166">
        <v>2995906</v>
      </c>
      <c r="BW12" s="1166">
        <v>1426098</v>
      </c>
      <c r="BX12" s="1166">
        <v>1025718</v>
      </c>
      <c r="BY12" s="1166">
        <v>40420</v>
      </c>
      <c r="BZ12" s="1166">
        <v>47916</v>
      </c>
      <c r="CA12" s="1166">
        <v>19644365</v>
      </c>
      <c r="CB12" s="1166">
        <v>98097</v>
      </c>
    </row>
    <row r="13" spans="1:80" s="1156" customFormat="1" x14ac:dyDescent="0.3">
      <c r="A13" s="1161">
        <v>17</v>
      </c>
      <c r="B13" s="1162">
        <v>17</v>
      </c>
      <c r="C13" s="1163" t="s">
        <v>209</v>
      </c>
      <c r="D13" s="1154" t="s">
        <v>309</v>
      </c>
      <c r="E13" s="1164">
        <v>0</v>
      </c>
      <c r="F13" s="1165">
        <v>2374689</v>
      </c>
      <c r="G13" s="1165">
        <v>0</v>
      </c>
      <c r="H13" s="1165">
        <v>1020404</v>
      </c>
      <c r="I13" s="1165">
        <v>0</v>
      </c>
      <c r="J13" s="1165">
        <v>0</v>
      </c>
      <c r="K13" s="1165">
        <v>0</v>
      </c>
      <c r="L13" s="1166">
        <v>0</v>
      </c>
      <c r="M13" s="1166">
        <v>1426703</v>
      </c>
      <c r="N13" s="1166">
        <v>0</v>
      </c>
      <c r="O13" s="1166">
        <v>0</v>
      </c>
      <c r="P13" s="1166">
        <v>0</v>
      </c>
      <c r="Q13" s="1166">
        <v>444026</v>
      </c>
      <c r="R13" s="1166">
        <v>0</v>
      </c>
      <c r="S13" s="1166">
        <v>0</v>
      </c>
      <c r="T13" s="1166">
        <v>1930000</v>
      </c>
      <c r="U13" s="1166">
        <v>0</v>
      </c>
      <c r="V13" s="1166">
        <v>103654</v>
      </c>
      <c r="W13" s="1166">
        <v>0</v>
      </c>
      <c r="X13" s="1166">
        <v>0</v>
      </c>
      <c r="Y13" s="1166">
        <v>363040</v>
      </c>
      <c r="Z13" s="1166">
        <v>0</v>
      </c>
      <c r="AA13" s="1166">
        <v>20473</v>
      </c>
      <c r="AB13" s="1166">
        <v>349764</v>
      </c>
      <c r="AC13" s="1166">
        <v>0</v>
      </c>
      <c r="AD13" s="1166">
        <v>0</v>
      </c>
      <c r="AE13" s="1166">
        <v>0</v>
      </c>
      <c r="AF13" s="1166">
        <v>676826</v>
      </c>
      <c r="AG13" s="1166">
        <v>0</v>
      </c>
      <c r="AH13" s="1166">
        <v>0</v>
      </c>
      <c r="AI13" s="1166">
        <v>0</v>
      </c>
      <c r="AJ13" s="1166">
        <v>0</v>
      </c>
      <c r="AK13" s="1166">
        <v>553403</v>
      </c>
      <c r="AL13" s="1166">
        <v>0</v>
      </c>
      <c r="AM13" s="1166">
        <v>0</v>
      </c>
      <c r="AN13" s="1166">
        <v>1250225</v>
      </c>
      <c r="AO13" s="1166">
        <v>0</v>
      </c>
      <c r="AP13" s="1166">
        <v>0</v>
      </c>
      <c r="AQ13" s="1166">
        <v>95000</v>
      </c>
      <c r="AR13" s="1166">
        <v>2889968</v>
      </c>
      <c r="AS13" s="1166">
        <v>8073</v>
      </c>
      <c r="AT13" s="1166">
        <v>0</v>
      </c>
      <c r="AU13" s="1166">
        <v>0</v>
      </c>
      <c r="AV13" s="1166">
        <v>405071</v>
      </c>
      <c r="AW13" s="1166">
        <v>20000</v>
      </c>
      <c r="AX13" s="1166">
        <v>0</v>
      </c>
      <c r="AY13" s="1166">
        <v>0</v>
      </c>
      <c r="AZ13" s="1166">
        <v>60000</v>
      </c>
      <c r="BA13" s="1166">
        <v>377370</v>
      </c>
      <c r="BB13" s="1166">
        <v>0</v>
      </c>
      <c r="BC13" s="1166">
        <v>0</v>
      </c>
      <c r="BD13" s="1166">
        <v>0</v>
      </c>
      <c r="BE13" s="1166">
        <v>0</v>
      </c>
      <c r="BF13" s="1166">
        <v>662245</v>
      </c>
      <c r="BG13" s="1166">
        <v>0</v>
      </c>
      <c r="BH13" s="1166">
        <v>0</v>
      </c>
      <c r="BI13" s="1166">
        <v>22</v>
      </c>
      <c r="BJ13" s="1166">
        <v>4546</v>
      </c>
      <c r="BK13" s="1166">
        <v>0</v>
      </c>
      <c r="BL13" s="1166">
        <v>27650</v>
      </c>
      <c r="BM13" s="1166">
        <v>0</v>
      </c>
      <c r="BN13" s="1166">
        <v>0</v>
      </c>
      <c r="BO13" s="1166">
        <v>173000</v>
      </c>
      <c r="BP13" s="1166">
        <v>0</v>
      </c>
      <c r="BQ13" s="1166">
        <v>0</v>
      </c>
      <c r="BR13" s="1166">
        <v>1495868</v>
      </c>
      <c r="BS13" s="1166">
        <v>0</v>
      </c>
      <c r="BT13" s="1166">
        <v>977378</v>
      </c>
      <c r="BU13" s="1166">
        <v>0</v>
      </c>
      <c r="BV13" s="1166">
        <v>0</v>
      </c>
      <c r="BW13" s="1166">
        <v>0</v>
      </c>
      <c r="BX13" s="1166">
        <v>0</v>
      </c>
      <c r="BY13" s="1166">
        <v>0</v>
      </c>
      <c r="BZ13" s="1166">
        <v>0</v>
      </c>
      <c r="CA13" s="1166">
        <v>0</v>
      </c>
      <c r="CB13" s="1166">
        <v>0</v>
      </c>
    </row>
    <row r="14" spans="1:80" s="1156" customFormat="1" x14ac:dyDescent="0.3">
      <c r="A14" s="1154"/>
      <c r="B14" s="1162">
        <v>19</v>
      </c>
      <c r="C14" s="1163" t="s">
        <v>621</v>
      </c>
      <c r="D14" s="1154" t="s">
        <v>310</v>
      </c>
      <c r="E14" s="1164"/>
      <c r="F14" s="1165"/>
      <c r="G14" s="1165"/>
      <c r="H14" s="1165"/>
      <c r="I14" s="1165"/>
      <c r="J14" s="1165"/>
      <c r="K14" s="1165"/>
      <c r="L14" s="1166"/>
      <c r="M14" s="1166"/>
      <c r="N14" s="1166"/>
      <c r="O14" s="1166"/>
      <c r="P14" s="1166"/>
      <c r="Q14" s="1166"/>
      <c r="R14" s="1166"/>
      <c r="S14" s="1166"/>
      <c r="T14" s="1166"/>
      <c r="U14" s="1166"/>
      <c r="V14" s="1166"/>
      <c r="W14" s="1166"/>
      <c r="X14" s="1166"/>
      <c r="Y14" s="1166"/>
      <c r="Z14" s="1166"/>
      <c r="AA14" s="1166"/>
      <c r="AB14" s="1166"/>
      <c r="AC14" s="1166"/>
      <c r="AD14" s="1166"/>
      <c r="AE14" s="1166"/>
      <c r="AF14" s="1166"/>
      <c r="AG14" s="1166"/>
      <c r="AH14" s="1166"/>
      <c r="AI14" s="1166"/>
      <c r="AJ14" s="1166"/>
      <c r="AK14" s="1166"/>
      <c r="AL14" s="1166"/>
      <c r="AM14" s="1166"/>
      <c r="AN14" s="1166"/>
      <c r="AO14" s="1166"/>
      <c r="AP14" s="1166"/>
      <c r="AQ14" s="1166"/>
      <c r="AR14" s="1166"/>
      <c r="AS14" s="1166"/>
      <c r="AT14" s="1166"/>
      <c r="AU14" s="1166"/>
      <c r="AV14" s="1166"/>
      <c r="AW14" s="1166"/>
      <c r="AX14" s="1166"/>
      <c r="AY14" s="1166"/>
      <c r="AZ14" s="1166"/>
      <c r="BA14" s="1166"/>
      <c r="BB14" s="1166"/>
      <c r="BC14" s="1166"/>
      <c r="BD14" s="1166"/>
      <c r="BE14" s="1166"/>
      <c r="BF14" s="1166"/>
      <c r="BG14" s="1166"/>
      <c r="BH14" s="1166"/>
      <c r="BI14" s="1166"/>
      <c r="BJ14" s="1166"/>
      <c r="BK14" s="1166"/>
      <c r="BL14" s="1166"/>
      <c r="BM14" s="1166"/>
      <c r="BN14" s="1166"/>
      <c r="BO14" s="1166"/>
      <c r="BP14" s="1166"/>
      <c r="BQ14" s="1166"/>
      <c r="BR14" s="1166"/>
      <c r="BS14" s="1166"/>
      <c r="BT14" s="1166"/>
      <c r="BU14" s="1166"/>
      <c r="BV14" s="1166"/>
      <c r="BW14" s="1166"/>
      <c r="BX14" s="1166"/>
      <c r="BY14" s="1166"/>
      <c r="BZ14" s="1166"/>
      <c r="CA14" s="1166"/>
      <c r="CB14" s="1166"/>
    </row>
    <row r="15" spans="1:80" s="1156" customFormat="1" x14ac:dyDescent="0.3">
      <c r="A15" s="1161">
        <v>20</v>
      </c>
      <c r="B15" s="1162">
        <v>20</v>
      </c>
      <c r="C15" s="1163" t="s">
        <v>210</v>
      </c>
      <c r="D15" s="1154" t="s">
        <v>311</v>
      </c>
      <c r="E15" s="1164">
        <v>0</v>
      </c>
      <c r="F15" s="1165">
        <v>2140703</v>
      </c>
      <c r="G15" s="1165">
        <v>0</v>
      </c>
      <c r="H15" s="1165">
        <v>4927853</v>
      </c>
      <c r="I15" s="1165">
        <v>236008</v>
      </c>
      <c r="J15" s="1165">
        <v>0</v>
      </c>
      <c r="K15" s="1165">
        <v>268060</v>
      </c>
      <c r="L15" s="1166">
        <v>0</v>
      </c>
      <c r="M15" s="1166">
        <v>5521626</v>
      </c>
      <c r="N15" s="1166">
        <v>0</v>
      </c>
      <c r="O15" s="1166">
        <v>0</v>
      </c>
      <c r="P15" s="1166">
        <v>0</v>
      </c>
      <c r="Q15" s="1166">
        <v>644461</v>
      </c>
      <c r="R15" s="1166">
        <v>0</v>
      </c>
      <c r="S15" s="1166">
        <v>0</v>
      </c>
      <c r="T15" s="1166">
        <v>1300932</v>
      </c>
      <c r="U15" s="1166">
        <v>0</v>
      </c>
      <c r="V15" s="1166">
        <v>0</v>
      </c>
      <c r="W15" s="1166">
        <v>0</v>
      </c>
      <c r="X15" s="1166">
        <v>0</v>
      </c>
      <c r="Y15" s="1166">
        <v>458897</v>
      </c>
      <c r="Z15" s="1166">
        <v>33014</v>
      </c>
      <c r="AA15" s="1166">
        <v>49738</v>
      </c>
      <c r="AB15" s="1166">
        <v>243762</v>
      </c>
      <c r="AC15" s="1166">
        <v>0</v>
      </c>
      <c r="AD15" s="1166">
        <v>0</v>
      </c>
      <c r="AE15" s="1166">
        <v>0</v>
      </c>
      <c r="AF15" s="1166">
        <v>0</v>
      </c>
      <c r="AG15" s="1166">
        <v>0</v>
      </c>
      <c r="AH15" s="1166">
        <v>0</v>
      </c>
      <c r="AI15" s="1166">
        <v>0</v>
      </c>
      <c r="AJ15" s="1166">
        <v>1000</v>
      </c>
      <c r="AK15" s="1166">
        <v>20000</v>
      </c>
      <c r="AL15" s="1166">
        <v>0</v>
      </c>
      <c r="AM15" s="1166">
        <v>0</v>
      </c>
      <c r="AN15" s="1166">
        <v>3019717</v>
      </c>
      <c r="AO15" s="1166">
        <v>314995</v>
      </c>
      <c r="AP15" s="1166">
        <v>0</v>
      </c>
      <c r="AQ15" s="1166">
        <v>405000</v>
      </c>
      <c r="AR15" s="1166">
        <v>549707</v>
      </c>
      <c r="AS15" s="1166">
        <v>94457</v>
      </c>
      <c r="AT15" s="1166">
        <v>0</v>
      </c>
      <c r="AU15" s="1166">
        <v>0</v>
      </c>
      <c r="AV15" s="1166">
        <v>0</v>
      </c>
      <c r="AW15" s="1166">
        <v>0</v>
      </c>
      <c r="AX15" s="1166">
        <v>0</v>
      </c>
      <c r="AY15" s="1166">
        <v>0</v>
      </c>
      <c r="AZ15" s="1166">
        <v>0</v>
      </c>
      <c r="BA15" s="1166">
        <v>205488</v>
      </c>
      <c r="BB15" s="1166">
        <v>0</v>
      </c>
      <c r="BC15" s="1166">
        <v>0</v>
      </c>
      <c r="BD15" s="1166">
        <v>0</v>
      </c>
      <c r="BE15" s="1166">
        <v>0</v>
      </c>
      <c r="BF15" s="1166">
        <v>0</v>
      </c>
      <c r="BG15" s="1166">
        <v>0</v>
      </c>
      <c r="BH15" s="1166">
        <v>0</v>
      </c>
      <c r="BI15" s="1166">
        <v>0</v>
      </c>
      <c r="BJ15" s="1166">
        <v>0</v>
      </c>
      <c r="BK15" s="1166">
        <v>0</v>
      </c>
      <c r="BL15" s="1166">
        <v>0</v>
      </c>
      <c r="BM15" s="1166">
        <v>193542</v>
      </c>
      <c r="BN15" s="1166">
        <v>0</v>
      </c>
      <c r="BO15" s="1166">
        <v>58589</v>
      </c>
      <c r="BP15" s="1166">
        <v>0</v>
      </c>
      <c r="BQ15" s="1166">
        <v>0</v>
      </c>
      <c r="BR15" s="1166">
        <v>0</v>
      </c>
      <c r="BS15" s="1166">
        <v>11000</v>
      </c>
      <c r="BT15" s="1166">
        <v>987757</v>
      </c>
      <c r="BU15" s="1166">
        <v>6211</v>
      </c>
      <c r="BV15" s="1166">
        <v>56072</v>
      </c>
      <c r="BW15" s="1166">
        <v>129596</v>
      </c>
      <c r="BX15" s="1166">
        <v>0</v>
      </c>
      <c r="BY15" s="1166">
        <v>0</v>
      </c>
      <c r="BZ15" s="1166">
        <v>0</v>
      </c>
      <c r="CA15" s="1166">
        <v>1183857</v>
      </c>
      <c r="CB15" s="1166">
        <v>0</v>
      </c>
    </row>
    <row r="16" spans="1:80" s="1156" customFormat="1" ht="28.8" x14ac:dyDescent="0.3">
      <c r="A16" s="1154"/>
      <c r="B16" s="1162">
        <v>21</v>
      </c>
      <c r="C16" s="1163" t="s">
        <v>622</v>
      </c>
      <c r="D16" s="1154" t="s">
        <v>312</v>
      </c>
      <c r="E16" s="1164"/>
      <c r="F16" s="1165"/>
      <c r="G16" s="1165"/>
      <c r="H16" s="1165"/>
      <c r="I16" s="1165"/>
      <c r="J16" s="1165"/>
      <c r="K16" s="1165"/>
      <c r="L16" s="1166"/>
      <c r="M16" s="1166"/>
      <c r="N16" s="1166"/>
      <c r="O16" s="1166"/>
      <c r="P16" s="1166"/>
      <c r="Q16" s="1166"/>
      <c r="R16" s="1166"/>
      <c r="S16" s="1166"/>
      <c r="T16" s="1166"/>
      <c r="U16" s="1166"/>
      <c r="V16" s="1166"/>
      <c r="W16" s="1166"/>
      <c r="X16" s="1166"/>
      <c r="Y16" s="1166"/>
      <c r="Z16" s="1166"/>
      <c r="AA16" s="1166"/>
      <c r="AB16" s="1166"/>
      <c r="AC16" s="1166"/>
      <c r="AD16" s="1166"/>
      <c r="AE16" s="1166"/>
      <c r="AF16" s="1166"/>
      <c r="AG16" s="1166"/>
      <c r="AH16" s="1166"/>
      <c r="AI16" s="1166"/>
      <c r="AJ16" s="1166"/>
      <c r="AK16" s="1166"/>
      <c r="AL16" s="1166"/>
      <c r="AM16" s="1166"/>
      <c r="AN16" s="1166"/>
      <c r="AO16" s="1166"/>
      <c r="AP16" s="1166"/>
      <c r="AQ16" s="1166"/>
      <c r="AR16" s="1166"/>
      <c r="AS16" s="1166"/>
      <c r="AT16" s="1166"/>
      <c r="AU16" s="1166"/>
      <c r="AV16" s="1166"/>
      <c r="AW16" s="1166"/>
      <c r="AX16" s="1166"/>
      <c r="AY16" s="1166"/>
      <c r="AZ16" s="1166"/>
      <c r="BA16" s="1166"/>
      <c r="BB16" s="1166"/>
      <c r="BC16" s="1166"/>
      <c r="BD16" s="1166"/>
      <c r="BE16" s="1166"/>
      <c r="BF16" s="1166"/>
      <c r="BG16" s="1166"/>
      <c r="BH16" s="1166"/>
      <c r="BI16" s="1166"/>
      <c r="BJ16" s="1166"/>
      <c r="BK16" s="1166"/>
      <c r="BL16" s="1166"/>
      <c r="BM16" s="1166"/>
      <c r="BN16" s="1166"/>
      <c r="BO16" s="1166"/>
      <c r="BP16" s="1166"/>
      <c r="BQ16" s="1166"/>
      <c r="BR16" s="1166"/>
      <c r="BS16" s="1166"/>
      <c r="BT16" s="1166"/>
      <c r="BU16" s="1166"/>
      <c r="BV16" s="1166"/>
      <c r="BW16" s="1166"/>
      <c r="BX16" s="1166"/>
      <c r="BY16" s="1166"/>
      <c r="BZ16" s="1166"/>
      <c r="CA16" s="1166"/>
      <c r="CB16" s="1166"/>
    </row>
    <row r="17" spans="1:80" s="1156" customFormat="1" x14ac:dyDescent="0.3">
      <c r="A17" s="1161">
        <v>22</v>
      </c>
      <c r="B17" s="1162">
        <v>22</v>
      </c>
      <c r="C17" s="1163" t="s">
        <v>212</v>
      </c>
      <c r="D17" s="1154" t="s">
        <v>313</v>
      </c>
      <c r="E17" s="1164">
        <v>2561</v>
      </c>
      <c r="F17" s="1165">
        <v>115000</v>
      </c>
      <c r="G17" s="1165">
        <v>0</v>
      </c>
      <c r="H17" s="1165">
        <v>124890</v>
      </c>
      <c r="I17" s="1165">
        <v>0</v>
      </c>
      <c r="J17" s="1165">
        <v>4760</v>
      </c>
      <c r="K17" s="1165">
        <v>0</v>
      </c>
      <c r="L17" s="1166">
        <v>89000</v>
      </c>
      <c r="M17" s="1166">
        <v>0</v>
      </c>
      <c r="N17" s="1166">
        <v>0</v>
      </c>
      <c r="O17" s="1166">
        <v>0</v>
      </c>
      <c r="P17" s="1166">
        <v>0</v>
      </c>
      <c r="Q17" s="1166">
        <v>643210</v>
      </c>
      <c r="R17" s="1166">
        <v>26224</v>
      </c>
      <c r="S17" s="1166">
        <v>74264</v>
      </c>
      <c r="T17" s="1166">
        <v>0</v>
      </c>
      <c r="U17" s="1166">
        <v>0</v>
      </c>
      <c r="V17" s="1166">
        <v>0</v>
      </c>
      <c r="W17" s="1166">
        <v>0</v>
      </c>
      <c r="X17" s="1166">
        <v>0</v>
      </c>
      <c r="Y17" s="1166">
        <v>63232</v>
      </c>
      <c r="Z17" s="1166">
        <v>0</v>
      </c>
      <c r="AA17" s="1166">
        <v>0</v>
      </c>
      <c r="AB17" s="1166">
        <v>0</v>
      </c>
      <c r="AC17" s="1166">
        <v>0</v>
      </c>
      <c r="AD17" s="1166">
        <v>0</v>
      </c>
      <c r="AE17" s="1166">
        <v>0</v>
      </c>
      <c r="AF17" s="1166">
        <v>0</v>
      </c>
      <c r="AG17" s="1166">
        <v>0</v>
      </c>
      <c r="AH17" s="1166">
        <v>0</v>
      </c>
      <c r="AI17" s="1166">
        <v>0</v>
      </c>
      <c r="AJ17" s="1166">
        <v>15600</v>
      </c>
      <c r="AK17" s="1166">
        <v>-8832</v>
      </c>
      <c r="AL17" s="1166">
        <v>0</v>
      </c>
      <c r="AM17" s="1166">
        <v>0</v>
      </c>
      <c r="AN17" s="1166">
        <v>0</v>
      </c>
      <c r="AO17" s="1166">
        <v>0</v>
      </c>
      <c r="AP17" s="1166">
        <v>0</v>
      </c>
      <c r="AQ17" s="1166">
        <v>0</v>
      </c>
      <c r="AR17" s="1166">
        <v>22566</v>
      </c>
      <c r="AS17" s="1166">
        <v>36247</v>
      </c>
      <c r="AT17" s="1166">
        <v>35000</v>
      </c>
      <c r="AU17" s="1166">
        <v>30680</v>
      </c>
      <c r="AV17" s="1166">
        <v>-2644</v>
      </c>
      <c r="AW17" s="1166">
        <v>29257</v>
      </c>
      <c r="AX17" s="1166">
        <v>166000</v>
      </c>
      <c r="AY17" s="1166">
        <v>0</v>
      </c>
      <c r="AZ17" s="1166">
        <v>0</v>
      </c>
      <c r="BA17" s="1166">
        <v>213078</v>
      </c>
      <c r="BB17" s="1166">
        <v>0</v>
      </c>
      <c r="BC17" s="1166">
        <v>15608</v>
      </c>
      <c r="BD17" s="1166">
        <v>0</v>
      </c>
      <c r="BE17" s="1166">
        <v>0</v>
      </c>
      <c r="BF17" s="1166">
        <v>0</v>
      </c>
      <c r="BG17" s="1166">
        <v>0</v>
      </c>
      <c r="BH17" s="1166">
        <v>0</v>
      </c>
      <c r="BI17" s="1166">
        <v>0</v>
      </c>
      <c r="BJ17" s="1166">
        <v>40750</v>
      </c>
      <c r="BK17" s="1166">
        <v>0</v>
      </c>
      <c r="BL17" s="1166">
        <v>716747</v>
      </c>
      <c r="BM17" s="1166">
        <v>0</v>
      </c>
      <c r="BN17" s="1166">
        <v>0</v>
      </c>
      <c r="BO17" s="1166">
        <v>66978</v>
      </c>
      <c r="BP17" s="1166">
        <v>0</v>
      </c>
      <c r="BQ17" s="1166">
        <v>0</v>
      </c>
      <c r="BR17" s="1166">
        <v>9943</v>
      </c>
      <c r="BS17" s="1166">
        <v>0</v>
      </c>
      <c r="BT17" s="1166">
        <v>15338</v>
      </c>
      <c r="BU17" s="1166">
        <v>0</v>
      </c>
      <c r="BV17" s="1166">
        <v>0</v>
      </c>
      <c r="BW17" s="1166">
        <v>897</v>
      </c>
      <c r="BX17" s="1166">
        <v>-197576</v>
      </c>
      <c r="BY17" s="1166">
        <v>0</v>
      </c>
      <c r="BZ17" s="1166">
        <v>0</v>
      </c>
      <c r="CA17" s="1166">
        <v>0</v>
      </c>
      <c r="CB17" s="1166">
        <v>0</v>
      </c>
    </row>
    <row r="18" spans="1:80" s="1156" customFormat="1" x14ac:dyDescent="0.3">
      <c r="A18" s="1161">
        <v>23</v>
      </c>
      <c r="B18" s="1162">
        <v>23</v>
      </c>
      <c r="C18" s="1163" t="s">
        <v>215</v>
      </c>
      <c r="D18" s="1154" t="s">
        <v>314</v>
      </c>
      <c r="E18" s="1164">
        <v>31216</v>
      </c>
      <c r="F18" s="1165">
        <v>963873</v>
      </c>
      <c r="G18" s="1165">
        <v>0</v>
      </c>
      <c r="H18" s="1165">
        <v>3244757</v>
      </c>
      <c r="I18" s="1165">
        <v>307949</v>
      </c>
      <c r="J18" s="1165">
        <v>16665</v>
      </c>
      <c r="K18" s="1165">
        <v>-146631</v>
      </c>
      <c r="L18" s="1166">
        <v>80620</v>
      </c>
      <c r="M18" s="1166">
        <v>-1557781</v>
      </c>
      <c r="N18" s="1166">
        <v>14482</v>
      </c>
      <c r="O18" s="1166">
        <v>134610</v>
      </c>
      <c r="P18" s="1166">
        <v>-4833</v>
      </c>
      <c r="Q18" s="1166">
        <v>-720259</v>
      </c>
      <c r="R18" s="1166">
        <v>717508</v>
      </c>
      <c r="S18" s="1166">
        <v>-11721</v>
      </c>
      <c r="T18" s="1166">
        <v>382240</v>
      </c>
      <c r="U18" s="1166">
        <v>0</v>
      </c>
      <c r="V18" s="1166">
        <v>-150085</v>
      </c>
      <c r="W18" s="1166">
        <v>-3086</v>
      </c>
      <c r="X18" s="1166">
        <v>1035704</v>
      </c>
      <c r="Y18" s="1166">
        <v>-185182</v>
      </c>
      <c r="Z18" s="1166">
        <v>508465</v>
      </c>
      <c r="AA18" s="1166">
        <v>144820</v>
      </c>
      <c r="AB18" s="1166">
        <v>781838</v>
      </c>
      <c r="AC18" s="1166">
        <v>204400</v>
      </c>
      <c r="AD18" s="1166">
        <v>-28147</v>
      </c>
      <c r="AE18" s="1166">
        <v>119842</v>
      </c>
      <c r="AF18" s="1166">
        <v>276761</v>
      </c>
      <c r="AG18" s="1166">
        <v>-56524</v>
      </c>
      <c r="AH18" s="1166">
        <v>-9817</v>
      </c>
      <c r="AI18" s="1166">
        <v>-4550</v>
      </c>
      <c r="AJ18" s="1166">
        <v>436877</v>
      </c>
      <c r="AK18" s="1166">
        <v>-325594</v>
      </c>
      <c r="AL18" s="1166">
        <v>62632</v>
      </c>
      <c r="AM18" s="1166">
        <v>3359</v>
      </c>
      <c r="AN18" s="1166">
        <v>63802</v>
      </c>
      <c r="AO18" s="1166">
        <v>960328</v>
      </c>
      <c r="AP18" s="1166">
        <v>81362</v>
      </c>
      <c r="AQ18" s="1166">
        <v>675227</v>
      </c>
      <c r="AR18" s="1166">
        <v>-629795</v>
      </c>
      <c r="AS18" s="1166">
        <v>79704</v>
      </c>
      <c r="AT18" s="1166">
        <v>58905</v>
      </c>
      <c r="AU18" s="1166">
        <v>108881</v>
      </c>
      <c r="AV18" s="1166">
        <v>1648282</v>
      </c>
      <c r="AW18" s="1166">
        <v>39590</v>
      </c>
      <c r="AX18" s="1166">
        <v>104046</v>
      </c>
      <c r="AY18" s="1166">
        <v>495063</v>
      </c>
      <c r="AZ18" s="1166">
        <v>366212</v>
      </c>
      <c r="BA18" s="1166">
        <v>-50296</v>
      </c>
      <c r="BB18" s="1166">
        <v>29195</v>
      </c>
      <c r="BC18" s="1166">
        <v>152101</v>
      </c>
      <c r="BD18" s="1166">
        <v>0</v>
      </c>
      <c r="BE18" s="1166">
        <v>16749</v>
      </c>
      <c r="BF18" s="1166">
        <v>-551627</v>
      </c>
      <c r="BG18" s="1166">
        <v>0</v>
      </c>
      <c r="BH18" s="1166">
        <v>22435</v>
      </c>
      <c r="BI18" s="1166">
        <v>209900</v>
      </c>
      <c r="BJ18" s="1166">
        <v>509128</v>
      </c>
      <c r="BK18" s="1166">
        <v>-48156</v>
      </c>
      <c r="BL18" s="1166">
        <v>408944</v>
      </c>
      <c r="BM18" s="1166">
        <v>186474</v>
      </c>
      <c r="BN18" s="1166">
        <v>10423</v>
      </c>
      <c r="BO18" s="1166">
        <v>544258</v>
      </c>
      <c r="BP18" s="1166">
        <v>527810</v>
      </c>
      <c r="BQ18" s="1166">
        <v>14381</v>
      </c>
      <c r="BR18" s="1166">
        <v>1552353</v>
      </c>
      <c r="BS18" s="1166">
        <v>500009</v>
      </c>
      <c r="BT18" s="1166">
        <v>-884316</v>
      </c>
      <c r="BU18" s="1166">
        <v>78170</v>
      </c>
      <c r="BV18" s="1166">
        <v>219473</v>
      </c>
      <c r="BW18" s="1166">
        <v>-8488</v>
      </c>
      <c r="BX18" s="1166">
        <v>45700</v>
      </c>
      <c r="BY18" s="1166">
        <v>9139</v>
      </c>
      <c r="BZ18" s="1166">
        <v>7397</v>
      </c>
      <c r="CA18" s="1166">
        <v>1450623</v>
      </c>
      <c r="CB18" s="1166">
        <v>-58957</v>
      </c>
    </row>
    <row r="19" spans="1:80" s="1156" customFormat="1" x14ac:dyDescent="0.3">
      <c r="A19" s="1154"/>
      <c r="B19" s="1162">
        <v>31</v>
      </c>
      <c r="C19" s="1163" t="s">
        <v>623</v>
      </c>
      <c r="D19" s="1154" t="s">
        <v>315</v>
      </c>
      <c r="E19" s="1164"/>
      <c r="F19" s="1165"/>
      <c r="G19" s="1165"/>
      <c r="H19" s="1165"/>
      <c r="I19" s="1165"/>
      <c r="J19" s="1165"/>
      <c r="K19" s="1165"/>
      <c r="L19" s="1166"/>
      <c r="M19" s="1166"/>
      <c r="N19" s="1166"/>
      <c r="O19" s="1166"/>
      <c r="P19" s="1166"/>
      <c r="Q19" s="1166"/>
      <c r="R19" s="1166"/>
      <c r="S19" s="1166"/>
      <c r="T19" s="1166"/>
      <c r="U19" s="1166"/>
      <c r="V19" s="1166"/>
      <c r="W19" s="1166"/>
      <c r="X19" s="1166"/>
      <c r="Y19" s="1166"/>
      <c r="Z19" s="1166"/>
      <c r="AA19" s="1166"/>
      <c r="AB19" s="1166"/>
      <c r="AC19" s="1166"/>
      <c r="AD19" s="1166"/>
      <c r="AE19" s="1166"/>
      <c r="AF19" s="1166"/>
      <c r="AG19" s="1166"/>
      <c r="AH19" s="1166"/>
      <c r="AI19" s="1166"/>
      <c r="AJ19" s="1166"/>
      <c r="AK19" s="1166"/>
      <c r="AL19" s="1166"/>
      <c r="AM19" s="1166"/>
      <c r="AN19" s="1166"/>
      <c r="AO19" s="1166"/>
      <c r="AP19" s="1166"/>
      <c r="AQ19" s="1166"/>
      <c r="AR19" s="1166"/>
      <c r="AS19" s="1166"/>
      <c r="AT19" s="1166"/>
      <c r="AU19" s="1166"/>
      <c r="AV19" s="1166"/>
      <c r="AW19" s="1166"/>
      <c r="AX19" s="1166"/>
      <c r="AY19" s="1166"/>
      <c r="AZ19" s="1166"/>
      <c r="BA19" s="1166"/>
      <c r="BB19" s="1166"/>
      <c r="BC19" s="1166"/>
      <c r="BD19" s="1166"/>
      <c r="BE19" s="1166"/>
      <c r="BF19" s="1166"/>
      <c r="BG19" s="1166"/>
      <c r="BH19" s="1166"/>
      <c r="BI19" s="1166"/>
      <c r="BJ19" s="1166"/>
      <c r="BK19" s="1166"/>
      <c r="BL19" s="1166"/>
      <c r="BM19" s="1166"/>
      <c r="BN19" s="1166"/>
      <c r="BO19" s="1166"/>
      <c r="BP19" s="1166"/>
      <c r="BQ19" s="1166"/>
      <c r="BR19" s="1166"/>
      <c r="BS19" s="1166"/>
      <c r="BT19" s="1166"/>
      <c r="BU19" s="1166"/>
      <c r="BV19" s="1166"/>
      <c r="BW19" s="1166"/>
      <c r="BX19" s="1166"/>
      <c r="BY19" s="1166"/>
      <c r="BZ19" s="1166"/>
      <c r="CA19" s="1166"/>
      <c r="CB19" s="1166"/>
    </row>
    <row r="20" spans="1:80" s="1156" customFormat="1" ht="28.8" x14ac:dyDescent="0.3">
      <c r="A20" s="1154"/>
      <c r="B20" s="1162">
        <v>32</v>
      </c>
      <c r="C20" s="1167" t="s">
        <v>316</v>
      </c>
      <c r="D20" s="1154" t="s">
        <v>317</v>
      </c>
      <c r="E20" s="1164"/>
      <c r="F20" s="1165"/>
      <c r="G20" s="1165"/>
      <c r="H20" s="1165"/>
      <c r="I20" s="1165"/>
      <c r="J20" s="1165"/>
      <c r="K20" s="1165"/>
      <c r="L20" s="1166"/>
      <c r="M20" s="1166"/>
      <c r="N20" s="1166"/>
      <c r="O20" s="1166"/>
      <c r="P20" s="1166"/>
      <c r="Q20" s="1166"/>
      <c r="R20" s="1166"/>
      <c r="S20" s="1166"/>
      <c r="T20" s="1166"/>
      <c r="U20" s="1166"/>
      <c r="V20" s="1166"/>
      <c r="W20" s="1166"/>
      <c r="X20" s="1166"/>
      <c r="Y20" s="1166"/>
      <c r="Z20" s="1166"/>
      <c r="AA20" s="1166"/>
      <c r="AB20" s="1166"/>
      <c r="AC20" s="1166"/>
      <c r="AD20" s="1166"/>
      <c r="AE20" s="1166"/>
      <c r="AF20" s="1166"/>
      <c r="AG20" s="1166"/>
      <c r="AH20" s="1166"/>
      <c r="AI20" s="1166"/>
      <c r="AJ20" s="1166"/>
      <c r="AK20" s="1166"/>
      <c r="AL20" s="1166"/>
      <c r="AM20" s="1166"/>
      <c r="AN20" s="1166"/>
      <c r="AO20" s="1166"/>
      <c r="AP20" s="1166"/>
      <c r="AQ20" s="1166"/>
      <c r="AR20" s="1166"/>
      <c r="AS20" s="1166"/>
      <c r="AT20" s="1166"/>
      <c r="AU20" s="1166"/>
      <c r="AV20" s="1166"/>
      <c r="AW20" s="1166"/>
      <c r="AX20" s="1166"/>
      <c r="AY20" s="1166"/>
      <c r="AZ20" s="1166"/>
      <c r="BA20" s="1166"/>
      <c r="BB20" s="1166"/>
      <c r="BC20" s="1166"/>
      <c r="BD20" s="1166"/>
      <c r="BE20" s="1166"/>
      <c r="BF20" s="1166"/>
      <c r="BG20" s="1166"/>
      <c r="BH20" s="1166"/>
      <c r="BI20" s="1166"/>
      <c r="BJ20" s="1166"/>
      <c r="BK20" s="1166"/>
      <c r="BL20" s="1166"/>
      <c r="BM20" s="1166"/>
      <c r="BN20" s="1166"/>
      <c r="BO20" s="1166"/>
      <c r="BP20" s="1166"/>
      <c r="BQ20" s="1166"/>
      <c r="BR20" s="1166"/>
      <c r="BS20" s="1166"/>
      <c r="BT20" s="1166"/>
      <c r="BU20" s="1166"/>
      <c r="BV20" s="1166"/>
      <c r="BW20" s="1166"/>
      <c r="BX20" s="1166"/>
      <c r="BY20" s="1166"/>
      <c r="BZ20" s="1166"/>
      <c r="CA20" s="1166"/>
      <c r="CB20" s="1166"/>
    </row>
    <row r="21" spans="1:80" s="1156" customFormat="1" ht="28.8" x14ac:dyDescent="0.3">
      <c r="A21" s="1154"/>
      <c r="B21" s="1162">
        <v>33</v>
      </c>
      <c r="C21" s="1167" t="s">
        <v>318</v>
      </c>
      <c r="D21" s="1154" t="s">
        <v>319</v>
      </c>
      <c r="E21" s="1164"/>
      <c r="F21" s="1165"/>
      <c r="G21" s="1165"/>
      <c r="H21" s="1165"/>
      <c r="I21" s="1165"/>
      <c r="J21" s="1165"/>
      <c r="K21" s="1165"/>
      <c r="L21" s="1166"/>
      <c r="M21" s="1166"/>
      <c r="N21" s="1166"/>
      <c r="O21" s="1166"/>
      <c r="P21" s="1166"/>
      <c r="Q21" s="1166"/>
      <c r="R21" s="1166"/>
      <c r="S21" s="1166"/>
      <c r="T21" s="1166"/>
      <c r="U21" s="1166"/>
      <c r="V21" s="1166"/>
      <c r="W21" s="1166"/>
      <c r="X21" s="1166"/>
      <c r="Y21" s="1166"/>
      <c r="Z21" s="1166"/>
      <c r="AA21" s="1166"/>
      <c r="AB21" s="1166"/>
      <c r="AC21" s="1166"/>
      <c r="AD21" s="1166"/>
      <c r="AE21" s="1166"/>
      <c r="AF21" s="1166"/>
      <c r="AG21" s="1166"/>
      <c r="AH21" s="1166"/>
      <c r="AI21" s="1166"/>
      <c r="AJ21" s="1166"/>
      <c r="AK21" s="1166"/>
      <c r="AL21" s="1166"/>
      <c r="AM21" s="1166"/>
      <c r="AN21" s="1166"/>
      <c r="AO21" s="1166"/>
      <c r="AP21" s="1166"/>
      <c r="AQ21" s="1166"/>
      <c r="AR21" s="1166"/>
      <c r="AS21" s="1166"/>
      <c r="AT21" s="1166"/>
      <c r="AU21" s="1166"/>
      <c r="AV21" s="1166"/>
      <c r="AW21" s="1166"/>
      <c r="AX21" s="1166"/>
      <c r="AY21" s="1166"/>
      <c r="AZ21" s="1166"/>
      <c r="BA21" s="1166"/>
      <c r="BB21" s="1166"/>
      <c r="BC21" s="1166"/>
      <c r="BD21" s="1166"/>
      <c r="BE21" s="1166"/>
      <c r="BF21" s="1166"/>
      <c r="BG21" s="1166"/>
      <c r="BH21" s="1166"/>
      <c r="BI21" s="1166"/>
      <c r="BJ21" s="1166"/>
      <c r="BK21" s="1166"/>
      <c r="BL21" s="1166"/>
      <c r="BM21" s="1166"/>
      <c r="BN21" s="1166"/>
      <c r="BO21" s="1166"/>
      <c r="BP21" s="1166"/>
      <c r="BQ21" s="1166"/>
      <c r="BR21" s="1166"/>
      <c r="BS21" s="1166"/>
      <c r="BT21" s="1166"/>
      <c r="BU21" s="1166"/>
      <c r="BV21" s="1166"/>
      <c r="BW21" s="1166"/>
      <c r="BX21" s="1166"/>
      <c r="BY21" s="1166"/>
      <c r="BZ21" s="1166"/>
      <c r="CA21" s="1166"/>
      <c r="CB21" s="1166"/>
    </row>
    <row r="22" spans="1:80" s="1156" customFormat="1" x14ac:dyDescent="0.3">
      <c r="A22" s="1154"/>
      <c r="B22" s="1162">
        <v>34</v>
      </c>
      <c r="C22" s="1151" t="s">
        <v>320</v>
      </c>
      <c r="D22" s="1154" t="s">
        <v>321</v>
      </c>
      <c r="E22" s="1164"/>
      <c r="F22" s="1165"/>
      <c r="G22" s="1165"/>
      <c r="H22" s="1165"/>
      <c r="I22" s="1165"/>
      <c r="J22" s="1165"/>
      <c r="K22" s="1165"/>
      <c r="L22" s="1166"/>
      <c r="M22" s="1166"/>
      <c r="N22" s="1166"/>
      <c r="O22" s="1166"/>
      <c r="P22" s="1166"/>
      <c r="Q22" s="1166"/>
      <c r="R22" s="1166"/>
      <c r="S22" s="1166"/>
      <c r="T22" s="1166"/>
      <c r="U22" s="1166"/>
      <c r="V22" s="1166"/>
      <c r="W22" s="1166"/>
      <c r="X22" s="1166"/>
      <c r="Y22" s="1166"/>
      <c r="Z22" s="1166"/>
      <c r="AA22" s="1166"/>
      <c r="AB22" s="1166"/>
      <c r="AC22" s="1166"/>
      <c r="AD22" s="1166"/>
      <c r="AE22" s="1166"/>
      <c r="AF22" s="1166"/>
      <c r="AG22" s="1166"/>
      <c r="AH22" s="1166"/>
      <c r="AI22" s="1166"/>
      <c r="AJ22" s="1166"/>
      <c r="AK22" s="1166"/>
      <c r="AL22" s="1166"/>
      <c r="AM22" s="1166"/>
      <c r="AN22" s="1166"/>
      <c r="AO22" s="1166"/>
      <c r="AP22" s="1166"/>
      <c r="AQ22" s="1166"/>
      <c r="AR22" s="1166"/>
      <c r="AS22" s="1166"/>
      <c r="AT22" s="1166"/>
      <c r="AU22" s="1166"/>
      <c r="AV22" s="1166"/>
      <c r="AW22" s="1166"/>
      <c r="AX22" s="1166"/>
      <c r="AY22" s="1166"/>
      <c r="AZ22" s="1166"/>
      <c r="BA22" s="1166"/>
      <c r="BB22" s="1166"/>
      <c r="BC22" s="1166"/>
      <c r="BD22" s="1166"/>
      <c r="BE22" s="1166"/>
      <c r="BF22" s="1166"/>
      <c r="BG22" s="1166"/>
      <c r="BH22" s="1166"/>
      <c r="BI22" s="1166"/>
      <c r="BJ22" s="1166"/>
      <c r="BK22" s="1166"/>
      <c r="BL22" s="1166"/>
      <c r="BM22" s="1166"/>
      <c r="BN22" s="1166"/>
      <c r="BO22" s="1166"/>
      <c r="BP22" s="1166"/>
      <c r="BQ22" s="1166"/>
      <c r="BR22" s="1166"/>
      <c r="BS22" s="1166"/>
      <c r="BT22" s="1166"/>
      <c r="BU22" s="1166"/>
      <c r="BV22" s="1166"/>
      <c r="BW22" s="1166"/>
      <c r="BX22" s="1166"/>
      <c r="BY22" s="1166"/>
      <c r="BZ22" s="1166"/>
      <c r="CA22" s="1166"/>
      <c r="CB22" s="1166"/>
    </row>
    <row r="23" spans="1:80" s="1156" customFormat="1" x14ac:dyDescent="0.3">
      <c r="A23" s="1154"/>
      <c r="B23" s="1162">
        <v>35</v>
      </c>
      <c r="C23" s="1151" t="s">
        <v>624</v>
      </c>
      <c r="D23" s="1154" t="s">
        <v>322</v>
      </c>
      <c r="E23" s="1164"/>
      <c r="F23" s="1165"/>
      <c r="G23" s="1165"/>
      <c r="H23" s="1165"/>
      <c r="I23" s="1165"/>
      <c r="J23" s="1165"/>
      <c r="K23" s="1165"/>
      <c r="L23" s="1166"/>
      <c r="M23" s="1166"/>
      <c r="N23" s="1166"/>
      <c r="O23" s="1166"/>
      <c r="P23" s="1166"/>
      <c r="Q23" s="1166"/>
      <c r="R23" s="1166"/>
      <c r="S23" s="1166"/>
      <c r="T23" s="1166"/>
      <c r="U23" s="1166"/>
      <c r="V23" s="1166"/>
      <c r="W23" s="1166"/>
      <c r="X23" s="1166"/>
      <c r="Y23" s="1166"/>
      <c r="Z23" s="1166"/>
      <c r="AA23" s="1166"/>
      <c r="AB23" s="1166"/>
      <c r="AC23" s="1166"/>
      <c r="AD23" s="1166"/>
      <c r="AE23" s="1166"/>
      <c r="AF23" s="1166"/>
      <c r="AG23" s="1166"/>
      <c r="AH23" s="1166"/>
      <c r="AI23" s="1166"/>
      <c r="AJ23" s="1166"/>
      <c r="AK23" s="1166"/>
      <c r="AL23" s="1166"/>
      <c r="AM23" s="1166"/>
      <c r="AN23" s="1166"/>
      <c r="AO23" s="1166"/>
      <c r="AP23" s="1166"/>
      <c r="AQ23" s="1166"/>
      <c r="AR23" s="1166"/>
      <c r="AS23" s="1166"/>
      <c r="AT23" s="1166"/>
      <c r="AU23" s="1166"/>
      <c r="AV23" s="1166"/>
      <c r="AW23" s="1166"/>
      <c r="AX23" s="1166"/>
      <c r="AY23" s="1166"/>
      <c r="AZ23" s="1166"/>
      <c r="BA23" s="1166"/>
      <c r="BB23" s="1166"/>
      <c r="BC23" s="1166"/>
      <c r="BD23" s="1166"/>
      <c r="BE23" s="1166"/>
      <c r="BF23" s="1166"/>
      <c r="BG23" s="1166"/>
      <c r="BH23" s="1166"/>
      <c r="BI23" s="1166"/>
      <c r="BJ23" s="1166"/>
      <c r="BK23" s="1166"/>
      <c r="BL23" s="1166"/>
      <c r="BM23" s="1166"/>
      <c r="BN23" s="1166"/>
      <c r="BO23" s="1166"/>
      <c r="BP23" s="1166"/>
      <c r="BQ23" s="1166"/>
      <c r="BR23" s="1166"/>
      <c r="BS23" s="1166"/>
      <c r="BT23" s="1166"/>
      <c r="BU23" s="1166"/>
      <c r="BV23" s="1166"/>
      <c r="BW23" s="1166"/>
      <c r="BX23" s="1166"/>
      <c r="BY23" s="1166"/>
      <c r="BZ23" s="1166"/>
      <c r="CA23" s="1166"/>
      <c r="CB23" s="1166"/>
    </row>
    <row r="24" spans="1:80" s="1156" customFormat="1" ht="27.6" x14ac:dyDescent="0.3">
      <c r="A24" s="1154"/>
      <c r="B24" s="1162">
        <v>36</v>
      </c>
      <c r="C24" s="1151" t="s">
        <v>625</v>
      </c>
      <c r="D24" s="1154" t="s">
        <v>323</v>
      </c>
      <c r="E24" s="1164"/>
      <c r="F24" s="1165"/>
      <c r="G24" s="1165"/>
      <c r="H24" s="1165"/>
      <c r="I24" s="1165"/>
      <c r="J24" s="1165"/>
      <c r="K24" s="1165"/>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c r="AG24" s="1166"/>
      <c r="AH24" s="1166"/>
      <c r="AI24" s="1166"/>
      <c r="AJ24" s="1166"/>
      <c r="AK24" s="1166"/>
      <c r="AL24" s="1166"/>
      <c r="AM24" s="1166"/>
      <c r="AN24" s="1166"/>
      <c r="AO24" s="1166"/>
      <c r="AP24" s="1166"/>
      <c r="AQ24" s="1166"/>
      <c r="AR24" s="1166"/>
      <c r="AS24" s="1166"/>
      <c r="AT24" s="1166"/>
      <c r="AU24" s="1166"/>
      <c r="AV24" s="1166"/>
      <c r="AW24" s="1166"/>
      <c r="AX24" s="1166"/>
      <c r="AY24" s="1166"/>
      <c r="AZ24" s="1166"/>
      <c r="BA24" s="1166"/>
      <c r="BB24" s="1166"/>
      <c r="BC24" s="1166"/>
      <c r="BD24" s="1166"/>
      <c r="BE24" s="1166"/>
      <c r="BF24" s="1166"/>
      <c r="BG24" s="1166"/>
      <c r="BH24" s="1166"/>
      <c r="BI24" s="1166"/>
      <c r="BJ24" s="1166"/>
      <c r="BK24" s="1166"/>
      <c r="BL24" s="1166"/>
      <c r="BM24" s="1166"/>
      <c r="BN24" s="1166"/>
      <c r="BO24" s="1166"/>
      <c r="BP24" s="1166"/>
      <c r="BQ24" s="1166"/>
      <c r="BR24" s="1166"/>
      <c r="BS24" s="1166"/>
      <c r="BT24" s="1166"/>
      <c r="BU24" s="1166"/>
      <c r="BV24" s="1166"/>
      <c r="BW24" s="1166"/>
      <c r="BX24" s="1166"/>
      <c r="BY24" s="1166"/>
      <c r="BZ24" s="1166"/>
      <c r="CA24" s="1166"/>
      <c r="CB24" s="1166"/>
    </row>
    <row r="25" spans="1:80" s="1156" customFormat="1" ht="27.6" x14ac:dyDescent="0.3">
      <c r="A25" s="1154"/>
      <c r="B25" s="1162">
        <v>37</v>
      </c>
      <c r="C25" s="1151" t="s">
        <v>324</v>
      </c>
      <c r="D25" s="1154" t="s">
        <v>325</v>
      </c>
      <c r="E25" s="1164"/>
      <c r="F25" s="1165"/>
      <c r="G25" s="1165"/>
      <c r="H25" s="1165"/>
      <c r="I25" s="1165"/>
      <c r="J25" s="1165"/>
      <c r="K25" s="1165"/>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1166"/>
      <c r="AL25" s="1166"/>
      <c r="AM25" s="1166"/>
      <c r="AN25" s="1166"/>
      <c r="AO25" s="1166"/>
      <c r="AP25" s="1166"/>
      <c r="AQ25" s="1166"/>
      <c r="AR25" s="1166"/>
      <c r="AS25" s="1166"/>
      <c r="AT25" s="1166"/>
      <c r="AU25" s="1166"/>
      <c r="AV25" s="1166"/>
      <c r="AW25" s="1166"/>
      <c r="AX25" s="1166"/>
      <c r="AY25" s="1166"/>
      <c r="AZ25" s="1166"/>
      <c r="BA25" s="1166"/>
      <c r="BB25" s="1166"/>
      <c r="BC25" s="1166"/>
      <c r="BD25" s="1166"/>
      <c r="BE25" s="1166"/>
      <c r="BF25" s="1166"/>
      <c r="BG25" s="1166"/>
      <c r="BH25" s="1166"/>
      <c r="BI25" s="1166"/>
      <c r="BJ25" s="1166"/>
      <c r="BK25" s="1166"/>
      <c r="BL25" s="1166"/>
      <c r="BM25" s="1166"/>
      <c r="BN25" s="1166"/>
      <c r="BO25" s="1166"/>
      <c r="BP25" s="1166"/>
      <c r="BQ25" s="1166"/>
      <c r="BR25" s="1166"/>
      <c r="BS25" s="1166"/>
      <c r="BT25" s="1166"/>
      <c r="BU25" s="1166"/>
      <c r="BV25" s="1166"/>
      <c r="BW25" s="1166"/>
      <c r="BX25" s="1166"/>
      <c r="BY25" s="1166"/>
      <c r="BZ25" s="1166"/>
      <c r="CA25" s="1166"/>
      <c r="CB25" s="1166"/>
    </row>
    <row r="26" spans="1:80" s="1156" customFormat="1" x14ac:dyDescent="0.3">
      <c r="A26" s="1154"/>
      <c r="B26" s="1162">
        <v>38</v>
      </c>
      <c r="C26" s="1151" t="s">
        <v>626</v>
      </c>
      <c r="D26" s="1154" t="s">
        <v>326</v>
      </c>
      <c r="E26" s="1164"/>
      <c r="F26" s="1165"/>
      <c r="G26" s="1165"/>
      <c r="H26" s="1165"/>
      <c r="I26" s="1165"/>
      <c r="J26" s="1165"/>
      <c r="K26" s="1165"/>
      <c r="L26" s="1166"/>
      <c r="M26" s="1166"/>
      <c r="N26" s="1166"/>
      <c r="O26" s="1166"/>
      <c r="P26" s="1166"/>
      <c r="Q26" s="1166"/>
      <c r="R26" s="1166"/>
      <c r="S26" s="1166"/>
      <c r="T26" s="1166"/>
      <c r="U26" s="1166"/>
      <c r="V26" s="1166"/>
      <c r="W26" s="1166"/>
      <c r="X26" s="1166"/>
      <c r="Y26" s="1166"/>
      <c r="Z26" s="1166"/>
      <c r="AA26" s="1166"/>
      <c r="AB26" s="1166"/>
      <c r="AC26" s="1166"/>
      <c r="AD26" s="1166"/>
      <c r="AE26" s="1166"/>
      <c r="AF26" s="1166"/>
      <c r="AG26" s="1166"/>
      <c r="AH26" s="1166"/>
      <c r="AI26" s="1166"/>
      <c r="AJ26" s="1166"/>
      <c r="AK26" s="1166"/>
      <c r="AL26" s="1166"/>
      <c r="AM26" s="1166"/>
      <c r="AN26" s="1166"/>
      <c r="AO26" s="1166"/>
      <c r="AP26" s="1166"/>
      <c r="AQ26" s="1166"/>
      <c r="AR26" s="1166"/>
      <c r="AS26" s="1166"/>
      <c r="AT26" s="1166"/>
      <c r="AU26" s="1166"/>
      <c r="AV26" s="1166"/>
      <c r="AW26" s="1166"/>
      <c r="AX26" s="1166"/>
      <c r="AY26" s="1166"/>
      <c r="AZ26" s="1166"/>
      <c r="BA26" s="1166"/>
      <c r="BB26" s="1166"/>
      <c r="BC26" s="1166"/>
      <c r="BD26" s="1166"/>
      <c r="BE26" s="1166"/>
      <c r="BF26" s="1166"/>
      <c r="BG26" s="1166"/>
      <c r="BH26" s="1166"/>
      <c r="BI26" s="1166"/>
      <c r="BJ26" s="1166"/>
      <c r="BK26" s="1166"/>
      <c r="BL26" s="1166"/>
      <c r="BM26" s="1166"/>
      <c r="BN26" s="1166"/>
      <c r="BO26" s="1166"/>
      <c r="BP26" s="1166"/>
      <c r="BQ26" s="1166"/>
      <c r="BR26" s="1166"/>
      <c r="BS26" s="1166"/>
      <c r="BT26" s="1166"/>
      <c r="BU26" s="1166"/>
      <c r="BV26" s="1166"/>
      <c r="BW26" s="1166"/>
      <c r="BX26" s="1166"/>
      <c r="BY26" s="1166"/>
      <c r="BZ26" s="1166"/>
      <c r="CA26" s="1166"/>
      <c r="CB26" s="1166"/>
    </row>
    <row r="27" spans="1:80" s="1156" customFormat="1" x14ac:dyDescent="0.3">
      <c r="A27" s="1154"/>
      <c r="B27" s="1162">
        <v>39</v>
      </c>
      <c r="C27" s="1151" t="s">
        <v>327</v>
      </c>
      <c r="D27" s="1154" t="s">
        <v>328</v>
      </c>
      <c r="E27" s="1164"/>
      <c r="F27" s="1165"/>
      <c r="G27" s="1165"/>
      <c r="H27" s="1165"/>
      <c r="I27" s="1165"/>
      <c r="J27" s="1165"/>
      <c r="K27" s="1165"/>
      <c r="L27" s="1166"/>
      <c r="M27" s="1166"/>
      <c r="N27" s="1166"/>
      <c r="O27" s="1166"/>
      <c r="P27" s="1166"/>
      <c r="Q27" s="1166"/>
      <c r="R27" s="1166"/>
      <c r="S27" s="1166"/>
      <c r="T27" s="1166"/>
      <c r="U27" s="1166"/>
      <c r="V27" s="1166"/>
      <c r="W27" s="1166"/>
      <c r="X27" s="1166"/>
      <c r="Y27" s="1166"/>
      <c r="Z27" s="1166"/>
      <c r="AA27" s="1166"/>
      <c r="AB27" s="1166"/>
      <c r="AC27" s="1166"/>
      <c r="AD27" s="1166"/>
      <c r="AE27" s="1166"/>
      <c r="AF27" s="1166"/>
      <c r="AG27" s="1166"/>
      <c r="AH27" s="1166"/>
      <c r="AI27" s="1166"/>
      <c r="AJ27" s="1166"/>
      <c r="AK27" s="1166"/>
      <c r="AL27" s="1166"/>
      <c r="AM27" s="1166"/>
      <c r="AN27" s="1166"/>
      <c r="AO27" s="1166"/>
      <c r="AP27" s="1166"/>
      <c r="AQ27" s="1166"/>
      <c r="AR27" s="1166"/>
      <c r="AS27" s="1166"/>
      <c r="AT27" s="1166"/>
      <c r="AU27" s="1166"/>
      <c r="AV27" s="1166"/>
      <c r="AW27" s="1166"/>
      <c r="AX27" s="1166"/>
      <c r="AY27" s="1166"/>
      <c r="AZ27" s="1166"/>
      <c r="BA27" s="1166"/>
      <c r="BB27" s="1166"/>
      <c r="BC27" s="1166"/>
      <c r="BD27" s="1166"/>
      <c r="BE27" s="1166"/>
      <c r="BF27" s="1166"/>
      <c r="BG27" s="1166"/>
      <c r="BH27" s="1166"/>
      <c r="BI27" s="1166"/>
      <c r="BJ27" s="1166"/>
      <c r="BK27" s="1166"/>
      <c r="BL27" s="1166"/>
      <c r="BM27" s="1166"/>
      <c r="BN27" s="1166"/>
      <c r="BO27" s="1166"/>
      <c r="BP27" s="1166"/>
      <c r="BQ27" s="1166"/>
      <c r="BR27" s="1166"/>
      <c r="BS27" s="1166"/>
      <c r="BT27" s="1166"/>
      <c r="BU27" s="1166"/>
      <c r="BV27" s="1166"/>
      <c r="BW27" s="1166"/>
      <c r="BX27" s="1166"/>
      <c r="BY27" s="1166"/>
      <c r="BZ27" s="1166"/>
      <c r="CA27" s="1166"/>
      <c r="CB27" s="1166"/>
    </row>
    <row r="28" spans="1:80" s="1156" customFormat="1" x14ac:dyDescent="0.3">
      <c r="A28" s="1154"/>
      <c r="B28" s="1162">
        <v>40</v>
      </c>
      <c r="C28" s="1151" t="s">
        <v>329</v>
      </c>
      <c r="D28" s="1154" t="s">
        <v>330</v>
      </c>
      <c r="E28" s="1164"/>
      <c r="F28" s="1165"/>
      <c r="G28" s="1165"/>
      <c r="H28" s="1165"/>
      <c r="I28" s="1165"/>
      <c r="J28" s="1165"/>
      <c r="K28" s="1165"/>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c r="AG28" s="1166"/>
      <c r="AH28" s="1166"/>
      <c r="AI28" s="1166"/>
      <c r="AJ28" s="1166"/>
      <c r="AK28" s="1166"/>
      <c r="AL28" s="1166"/>
      <c r="AM28" s="1166"/>
      <c r="AN28" s="1166"/>
      <c r="AO28" s="1166"/>
      <c r="AP28" s="1166"/>
      <c r="AQ28" s="1166"/>
      <c r="AR28" s="1166"/>
      <c r="AS28" s="1166"/>
      <c r="AT28" s="1166"/>
      <c r="AU28" s="1166"/>
      <c r="AV28" s="1166"/>
      <c r="AW28" s="1166"/>
      <c r="AX28" s="1166"/>
      <c r="AY28" s="1166"/>
      <c r="AZ28" s="1166"/>
      <c r="BA28" s="1166"/>
      <c r="BB28" s="1166"/>
      <c r="BC28" s="1166"/>
      <c r="BD28" s="1166"/>
      <c r="BE28" s="1166"/>
      <c r="BF28" s="1166"/>
      <c r="BG28" s="1166"/>
      <c r="BH28" s="1166"/>
      <c r="BI28" s="1166"/>
      <c r="BJ28" s="1166"/>
      <c r="BK28" s="1166"/>
      <c r="BL28" s="1166"/>
      <c r="BM28" s="1166"/>
      <c r="BN28" s="1166"/>
      <c r="BO28" s="1166"/>
      <c r="BP28" s="1166"/>
      <c r="BQ28" s="1166"/>
      <c r="BR28" s="1166"/>
      <c r="BS28" s="1166"/>
      <c r="BT28" s="1166"/>
      <c r="BU28" s="1166"/>
      <c r="BV28" s="1166"/>
      <c r="BW28" s="1166"/>
      <c r="BX28" s="1166"/>
      <c r="BY28" s="1166"/>
      <c r="BZ28" s="1166"/>
      <c r="CA28" s="1166"/>
      <c r="CB28" s="1166"/>
    </row>
    <row r="29" spans="1:80" s="1156" customFormat="1" x14ac:dyDescent="0.3">
      <c r="A29" s="1154"/>
      <c r="B29" s="1162">
        <v>41</v>
      </c>
      <c r="C29" s="1151" t="s">
        <v>331</v>
      </c>
      <c r="D29" s="1154" t="s">
        <v>332</v>
      </c>
      <c r="E29" s="1164"/>
      <c r="F29" s="1165"/>
      <c r="G29" s="1165"/>
      <c r="H29" s="1165"/>
      <c r="I29" s="1165"/>
      <c r="J29" s="1165"/>
      <c r="K29" s="1165"/>
      <c r="L29" s="1166"/>
      <c r="M29" s="1166"/>
      <c r="N29" s="1166"/>
      <c r="O29" s="1166"/>
      <c r="P29" s="1166"/>
      <c r="Q29" s="1166"/>
      <c r="R29" s="1166"/>
      <c r="S29" s="1166"/>
      <c r="T29" s="1166"/>
      <c r="U29" s="1166"/>
      <c r="V29" s="1166"/>
      <c r="W29" s="1166"/>
      <c r="X29" s="1166"/>
      <c r="Y29" s="1166"/>
      <c r="Z29" s="1166"/>
      <c r="AA29" s="1166"/>
      <c r="AB29" s="1166"/>
      <c r="AC29" s="1166"/>
      <c r="AD29" s="1166"/>
      <c r="AE29" s="1166"/>
      <c r="AF29" s="1166"/>
      <c r="AG29" s="1166"/>
      <c r="AH29" s="1166"/>
      <c r="AI29" s="1166"/>
      <c r="AJ29" s="1166"/>
      <c r="AK29" s="1166"/>
      <c r="AL29" s="1166"/>
      <c r="AM29" s="1166"/>
      <c r="AN29" s="1166"/>
      <c r="AO29" s="1166"/>
      <c r="AP29" s="1166"/>
      <c r="AQ29" s="1166"/>
      <c r="AR29" s="1166"/>
      <c r="AS29" s="1166"/>
      <c r="AT29" s="1166"/>
      <c r="AU29" s="1166"/>
      <c r="AV29" s="1166"/>
      <c r="AW29" s="1166"/>
      <c r="AX29" s="1166"/>
      <c r="AY29" s="1166"/>
      <c r="AZ29" s="1166"/>
      <c r="BA29" s="1166"/>
      <c r="BB29" s="1166"/>
      <c r="BC29" s="1166"/>
      <c r="BD29" s="1166"/>
      <c r="BE29" s="1166"/>
      <c r="BF29" s="1166"/>
      <c r="BG29" s="1166"/>
      <c r="BH29" s="1166"/>
      <c r="BI29" s="1166"/>
      <c r="BJ29" s="1166"/>
      <c r="BK29" s="1166"/>
      <c r="BL29" s="1166"/>
      <c r="BM29" s="1166"/>
      <c r="BN29" s="1166"/>
      <c r="BO29" s="1166"/>
      <c r="BP29" s="1166"/>
      <c r="BQ29" s="1166"/>
      <c r="BR29" s="1166"/>
      <c r="BS29" s="1166"/>
      <c r="BT29" s="1166"/>
      <c r="BU29" s="1166"/>
      <c r="BV29" s="1166"/>
      <c r="BW29" s="1166"/>
      <c r="BX29" s="1166"/>
      <c r="BY29" s="1166"/>
      <c r="BZ29" s="1166"/>
      <c r="CA29" s="1166"/>
      <c r="CB29" s="1166"/>
    </row>
    <row r="30" spans="1:80" s="1156" customFormat="1" ht="28.8" x14ac:dyDescent="0.3">
      <c r="A30" s="1154"/>
      <c r="B30" s="1162">
        <v>43</v>
      </c>
      <c r="C30" s="1163" t="s">
        <v>333</v>
      </c>
      <c r="D30" s="1154" t="s">
        <v>334</v>
      </c>
      <c r="E30" s="1164"/>
      <c r="F30" s="1165"/>
      <c r="G30" s="1165"/>
      <c r="H30" s="1165"/>
      <c r="I30" s="1165"/>
      <c r="J30" s="1165"/>
      <c r="K30" s="1165"/>
      <c r="L30" s="1166"/>
      <c r="M30" s="1166"/>
      <c r="N30" s="1166"/>
      <c r="O30" s="1166"/>
      <c r="P30" s="1166"/>
      <c r="Q30" s="1166"/>
      <c r="R30" s="1166"/>
      <c r="S30" s="1166"/>
      <c r="T30" s="1166"/>
      <c r="U30" s="1166"/>
      <c r="V30" s="1166"/>
      <c r="W30" s="1166"/>
      <c r="X30" s="1166"/>
      <c r="Y30" s="1166"/>
      <c r="Z30" s="1166"/>
      <c r="AA30" s="1166"/>
      <c r="AB30" s="1166"/>
      <c r="AC30" s="1166"/>
      <c r="AD30" s="1166"/>
      <c r="AE30" s="1166"/>
      <c r="AF30" s="1166"/>
      <c r="AG30" s="1166"/>
      <c r="AH30" s="1166"/>
      <c r="AI30" s="1166"/>
      <c r="AJ30" s="1166"/>
      <c r="AK30" s="1166"/>
      <c r="AL30" s="1166"/>
      <c r="AM30" s="1166"/>
      <c r="AN30" s="1166"/>
      <c r="AO30" s="1166"/>
      <c r="AP30" s="1166"/>
      <c r="AQ30" s="1166"/>
      <c r="AR30" s="1166"/>
      <c r="AS30" s="1166"/>
      <c r="AT30" s="1166"/>
      <c r="AU30" s="1166"/>
      <c r="AV30" s="1166"/>
      <c r="AW30" s="1166"/>
      <c r="AX30" s="1166"/>
      <c r="AY30" s="1166"/>
      <c r="AZ30" s="1166"/>
      <c r="BA30" s="1166"/>
      <c r="BB30" s="1166"/>
      <c r="BC30" s="1166"/>
      <c r="BD30" s="1166"/>
      <c r="BE30" s="1166"/>
      <c r="BF30" s="1166"/>
      <c r="BG30" s="1166"/>
      <c r="BH30" s="1166"/>
      <c r="BI30" s="1166"/>
      <c r="BJ30" s="1166"/>
      <c r="BK30" s="1166"/>
      <c r="BL30" s="1166"/>
      <c r="BM30" s="1166"/>
      <c r="BN30" s="1166"/>
      <c r="BO30" s="1166"/>
      <c r="BP30" s="1166"/>
      <c r="BQ30" s="1166"/>
      <c r="BR30" s="1166"/>
      <c r="BS30" s="1166"/>
      <c r="BT30" s="1166"/>
      <c r="BU30" s="1166"/>
      <c r="BV30" s="1166"/>
      <c r="BW30" s="1166"/>
      <c r="BX30" s="1166"/>
      <c r="BY30" s="1166"/>
      <c r="BZ30" s="1166"/>
      <c r="CA30" s="1166"/>
      <c r="CB30" s="1166"/>
    </row>
    <row r="31" spans="1:80" s="1156" customFormat="1" x14ac:dyDescent="0.3">
      <c r="A31" s="1168">
        <v>44</v>
      </c>
      <c r="B31" s="1162">
        <v>44</v>
      </c>
      <c r="C31" s="1163" t="s">
        <v>627</v>
      </c>
      <c r="D31" s="1154" t="s">
        <v>335</v>
      </c>
      <c r="E31" s="1164">
        <v>0</v>
      </c>
      <c r="F31" s="1165">
        <v>0</v>
      </c>
      <c r="G31" s="1165">
        <v>0</v>
      </c>
      <c r="H31" s="1165">
        <v>41172199</v>
      </c>
      <c r="I31" s="1165">
        <v>9144092</v>
      </c>
      <c r="J31" s="1165">
        <v>233009</v>
      </c>
      <c r="K31" s="1165">
        <v>6081317</v>
      </c>
      <c r="L31" s="1166">
        <v>975375</v>
      </c>
      <c r="M31" s="1166">
        <v>6421058</v>
      </c>
      <c r="N31" s="1166">
        <v>0</v>
      </c>
      <c r="O31" s="1166">
        <v>1588638</v>
      </c>
      <c r="P31" s="1166">
        <v>1040321</v>
      </c>
      <c r="Q31" s="1166">
        <v>0</v>
      </c>
      <c r="R31" s="1166">
        <v>8469874</v>
      </c>
      <c r="S31" s="1166">
        <v>8535197</v>
      </c>
      <c r="T31" s="1166">
        <v>8286984</v>
      </c>
      <c r="U31" s="1166">
        <v>0</v>
      </c>
      <c r="V31" s="1166">
        <v>11969180</v>
      </c>
      <c r="W31" s="1166">
        <v>0</v>
      </c>
      <c r="X31" s="1166">
        <v>0</v>
      </c>
      <c r="Y31" s="1166">
        <v>187267</v>
      </c>
      <c r="Z31" s="1166">
        <v>2904262</v>
      </c>
      <c r="AA31" s="1166">
        <v>1323933</v>
      </c>
      <c r="AB31" s="1166">
        <v>638748</v>
      </c>
      <c r="AC31" s="1166">
        <v>0</v>
      </c>
      <c r="AD31" s="1166">
        <v>67699</v>
      </c>
      <c r="AE31" s="1166">
        <v>1641889</v>
      </c>
      <c r="AF31" s="1166">
        <v>1456658</v>
      </c>
      <c r="AG31" s="1166">
        <v>65366</v>
      </c>
      <c r="AH31" s="1166">
        <v>0</v>
      </c>
      <c r="AI31" s="1166">
        <v>0</v>
      </c>
      <c r="AJ31" s="1166">
        <v>913645</v>
      </c>
      <c r="AK31" s="1166">
        <v>7749004</v>
      </c>
      <c r="AL31" s="1166">
        <v>356373</v>
      </c>
      <c r="AM31" s="1166">
        <v>0</v>
      </c>
      <c r="AN31" s="1166">
        <v>19636870</v>
      </c>
      <c r="AO31" s="1166">
        <v>12350388</v>
      </c>
      <c r="AP31" s="1166">
        <v>114797</v>
      </c>
      <c r="AQ31" s="1166">
        <v>0</v>
      </c>
      <c r="AR31" s="1166">
        <v>7163388</v>
      </c>
      <c r="AS31" s="1166">
        <v>1409771</v>
      </c>
      <c r="AT31" s="1166">
        <v>279438</v>
      </c>
      <c r="AU31" s="1166">
        <v>1688550</v>
      </c>
      <c r="AV31" s="1166">
        <v>8677637</v>
      </c>
      <c r="AW31" s="1166">
        <v>1179495</v>
      </c>
      <c r="AX31" s="1166">
        <v>736389</v>
      </c>
      <c r="AY31" s="1166">
        <v>1283976</v>
      </c>
      <c r="AZ31" s="1166">
        <v>1092954</v>
      </c>
      <c r="BA31" s="1166">
        <v>1986791</v>
      </c>
      <c r="BB31" s="1166">
        <v>1587</v>
      </c>
      <c r="BC31" s="1166">
        <v>737849</v>
      </c>
      <c r="BD31" s="1166">
        <v>0</v>
      </c>
      <c r="BE31" s="1166">
        <v>0</v>
      </c>
      <c r="BF31" s="1166">
        <v>5990811</v>
      </c>
      <c r="BG31" s="1166">
        <v>0</v>
      </c>
      <c r="BH31" s="1166">
        <v>0</v>
      </c>
      <c r="BI31" s="1166">
        <v>897778</v>
      </c>
      <c r="BJ31" s="1166">
        <v>2086026</v>
      </c>
      <c r="BK31" s="1166">
        <v>0</v>
      </c>
      <c r="BL31" s="1166">
        <v>5058110</v>
      </c>
      <c r="BM31" s="1166">
        <v>3038809</v>
      </c>
      <c r="BN31" s="1166">
        <v>0</v>
      </c>
      <c r="BO31" s="1166">
        <v>2326675</v>
      </c>
      <c r="BP31" s="1166">
        <v>3769733</v>
      </c>
      <c r="BQ31" s="1166">
        <v>1074608</v>
      </c>
      <c r="BR31" s="1166">
        <v>1890040</v>
      </c>
      <c r="BS31" s="1166">
        <v>0</v>
      </c>
      <c r="BT31" s="1166">
        <v>0</v>
      </c>
      <c r="BU31" s="1166">
        <v>1286428</v>
      </c>
      <c r="BV31" s="1166">
        <v>2231693</v>
      </c>
      <c r="BW31" s="1166">
        <v>283762</v>
      </c>
      <c r="BX31" s="1166">
        <v>1482770</v>
      </c>
      <c r="BY31" s="1166">
        <v>0</v>
      </c>
      <c r="BZ31" s="1166">
        <v>0</v>
      </c>
      <c r="CA31" s="1166">
        <v>8422634</v>
      </c>
      <c r="CB31" s="1166">
        <v>0</v>
      </c>
    </row>
    <row r="32" spans="1:80" s="1156" customFormat="1" x14ac:dyDescent="0.3">
      <c r="A32" s="1168">
        <v>45</v>
      </c>
      <c r="B32" s="1162">
        <v>45</v>
      </c>
      <c r="C32" s="1163" t="s">
        <v>628</v>
      </c>
      <c r="D32" s="1154" t="s">
        <v>336</v>
      </c>
      <c r="E32" s="1164">
        <v>0</v>
      </c>
      <c r="F32" s="1165">
        <v>0</v>
      </c>
      <c r="G32" s="1165">
        <v>0</v>
      </c>
      <c r="H32" s="1165">
        <v>6505172</v>
      </c>
      <c r="I32" s="1165">
        <v>309711</v>
      </c>
      <c r="J32" s="1165">
        <v>27454</v>
      </c>
      <c r="K32" s="1165">
        <v>9405</v>
      </c>
      <c r="L32" s="1166">
        <v>78726</v>
      </c>
      <c r="M32" s="1166">
        <v>4726017</v>
      </c>
      <c r="N32" s="1166">
        <v>0</v>
      </c>
      <c r="O32" s="1166">
        <v>30067</v>
      </c>
      <c r="P32" s="1166">
        <v>36873</v>
      </c>
      <c r="Q32" s="1166">
        <v>0</v>
      </c>
      <c r="R32" s="1166">
        <v>929206</v>
      </c>
      <c r="S32" s="1166">
        <v>1505409</v>
      </c>
      <c r="T32" s="1166">
        <v>1809520</v>
      </c>
      <c r="U32" s="1166">
        <v>0</v>
      </c>
      <c r="V32" s="1166">
        <v>4316073</v>
      </c>
      <c r="W32" s="1166">
        <v>0</v>
      </c>
      <c r="X32" s="1166">
        <v>0</v>
      </c>
      <c r="Y32" s="1166">
        <v>2318</v>
      </c>
      <c r="Z32" s="1166">
        <v>474227</v>
      </c>
      <c r="AA32" s="1166">
        <v>33516</v>
      </c>
      <c r="AB32" s="1166">
        <v>351076</v>
      </c>
      <c r="AC32" s="1166">
        <v>0</v>
      </c>
      <c r="AD32" s="1166">
        <v>18873</v>
      </c>
      <c r="AE32" s="1166">
        <v>112343</v>
      </c>
      <c r="AF32" s="1166">
        <v>754778</v>
      </c>
      <c r="AG32" s="1166">
        <v>7169</v>
      </c>
      <c r="AH32" s="1166">
        <v>0</v>
      </c>
      <c r="AI32" s="1166">
        <v>0</v>
      </c>
      <c r="AJ32" s="1166">
        <v>33417</v>
      </c>
      <c r="AK32" s="1166">
        <v>1095112</v>
      </c>
      <c r="AL32" s="1166">
        <v>21475</v>
      </c>
      <c r="AM32" s="1166">
        <v>0</v>
      </c>
      <c r="AN32" s="1166">
        <v>2503448</v>
      </c>
      <c r="AO32" s="1166">
        <v>2006591</v>
      </c>
      <c r="AP32" s="1166">
        <v>32070</v>
      </c>
      <c r="AQ32" s="1166">
        <v>0</v>
      </c>
      <c r="AR32" s="1166">
        <v>1251662</v>
      </c>
      <c r="AS32" s="1166">
        <v>75471</v>
      </c>
      <c r="AT32" s="1166">
        <v>15192</v>
      </c>
      <c r="AU32" s="1166">
        <v>242482</v>
      </c>
      <c r="AV32" s="1166">
        <v>2797205</v>
      </c>
      <c r="AW32" s="1166">
        <v>33520</v>
      </c>
      <c r="AX32" s="1166">
        <v>55452</v>
      </c>
      <c r="AY32" s="1166">
        <v>61980</v>
      </c>
      <c r="AZ32" s="1166">
        <v>67428</v>
      </c>
      <c r="BA32" s="1166">
        <v>317093</v>
      </c>
      <c r="BB32" s="1166">
        <v>16123</v>
      </c>
      <c r="BC32" s="1166">
        <v>183333</v>
      </c>
      <c r="BD32" s="1166">
        <v>0</v>
      </c>
      <c r="BE32" s="1166">
        <v>0</v>
      </c>
      <c r="BF32" s="1166">
        <v>955523</v>
      </c>
      <c r="BG32" s="1166">
        <v>0</v>
      </c>
      <c r="BH32" s="1166">
        <v>0</v>
      </c>
      <c r="BI32" s="1166">
        <v>359701</v>
      </c>
      <c r="BJ32" s="1166">
        <v>207117</v>
      </c>
      <c r="BK32" s="1166">
        <v>0</v>
      </c>
      <c r="BL32" s="1166">
        <v>165797</v>
      </c>
      <c r="BM32" s="1166">
        <v>183172</v>
      </c>
      <c r="BN32" s="1166">
        <v>0</v>
      </c>
      <c r="BO32" s="1166">
        <v>355807</v>
      </c>
      <c r="BP32" s="1166">
        <v>214816</v>
      </c>
      <c r="BQ32" s="1166">
        <v>20873</v>
      </c>
      <c r="BR32" s="1166">
        <v>735018</v>
      </c>
      <c r="BS32" s="1166">
        <v>0</v>
      </c>
      <c r="BT32" s="1166">
        <v>0</v>
      </c>
      <c r="BU32" s="1166">
        <v>121908</v>
      </c>
      <c r="BV32" s="1166">
        <v>295366</v>
      </c>
      <c r="BW32" s="1166">
        <v>73917</v>
      </c>
      <c r="BX32" s="1166">
        <v>569611</v>
      </c>
      <c r="BY32" s="1166">
        <v>0</v>
      </c>
      <c r="BZ32" s="1166">
        <v>0</v>
      </c>
      <c r="CA32" s="1166">
        <v>1381811</v>
      </c>
      <c r="CB32" s="1166">
        <v>0</v>
      </c>
    </row>
    <row r="33" spans="1:80" s="1156" customFormat="1" ht="28.8" x14ac:dyDescent="0.3">
      <c r="A33" s="1154"/>
      <c r="B33" s="1162">
        <v>46</v>
      </c>
      <c r="C33" s="1163" t="s">
        <v>629</v>
      </c>
      <c r="D33" s="1154" t="s">
        <v>337</v>
      </c>
      <c r="E33" s="1164"/>
      <c r="F33" s="1165"/>
      <c r="G33" s="1165"/>
      <c r="H33" s="1165"/>
      <c r="I33" s="1165"/>
      <c r="J33" s="1165"/>
      <c r="K33" s="1165"/>
      <c r="L33" s="1166"/>
      <c r="M33" s="1166"/>
      <c r="N33" s="1166"/>
      <c r="O33" s="1166"/>
      <c r="P33" s="1166"/>
      <c r="Q33" s="1166"/>
      <c r="R33" s="1166"/>
      <c r="S33" s="1166"/>
      <c r="T33" s="1166"/>
      <c r="U33" s="1166"/>
      <c r="V33" s="1166"/>
      <c r="W33" s="1166"/>
      <c r="X33" s="1166"/>
      <c r="Y33" s="1166"/>
      <c r="Z33" s="1166"/>
      <c r="AA33" s="1166"/>
      <c r="AB33" s="1166"/>
      <c r="AC33" s="1166"/>
      <c r="AD33" s="1166"/>
      <c r="AE33" s="1166"/>
      <c r="AF33" s="1166"/>
      <c r="AG33" s="1166"/>
      <c r="AH33" s="1166"/>
      <c r="AI33" s="1166"/>
      <c r="AJ33" s="1166"/>
      <c r="AK33" s="1166"/>
      <c r="AL33" s="1166"/>
      <c r="AM33" s="1166"/>
      <c r="AN33" s="1166"/>
      <c r="AO33" s="1166"/>
      <c r="AP33" s="1166"/>
      <c r="AQ33" s="1166"/>
      <c r="AR33" s="1166"/>
      <c r="AS33" s="1166"/>
      <c r="AT33" s="1166"/>
      <c r="AU33" s="1166"/>
      <c r="AV33" s="1166"/>
      <c r="AW33" s="1166"/>
      <c r="AX33" s="1166"/>
      <c r="AY33" s="1166"/>
      <c r="AZ33" s="1166"/>
      <c r="BA33" s="1166"/>
      <c r="BB33" s="1166"/>
      <c r="BC33" s="1166"/>
      <c r="BD33" s="1166"/>
      <c r="BE33" s="1166"/>
      <c r="BF33" s="1166"/>
      <c r="BG33" s="1166"/>
      <c r="BH33" s="1166"/>
      <c r="BI33" s="1166"/>
      <c r="BJ33" s="1166"/>
      <c r="BK33" s="1166"/>
      <c r="BL33" s="1166"/>
      <c r="BM33" s="1166"/>
      <c r="BN33" s="1166"/>
      <c r="BO33" s="1166"/>
      <c r="BP33" s="1166"/>
      <c r="BQ33" s="1166"/>
      <c r="BR33" s="1166"/>
      <c r="BS33" s="1166"/>
      <c r="BT33" s="1166"/>
      <c r="BU33" s="1166"/>
      <c r="BV33" s="1166"/>
      <c r="BW33" s="1166"/>
      <c r="BX33" s="1166"/>
      <c r="BY33" s="1166"/>
      <c r="BZ33" s="1166"/>
      <c r="CA33" s="1166"/>
      <c r="CB33" s="1166"/>
    </row>
    <row r="34" spans="1:80" s="1156" customFormat="1" x14ac:dyDescent="0.3">
      <c r="A34" s="1161">
        <v>47</v>
      </c>
      <c r="B34" s="1162">
        <v>47</v>
      </c>
      <c r="C34" s="1163" t="s">
        <v>630</v>
      </c>
      <c r="D34" s="1154" t="s">
        <v>338</v>
      </c>
      <c r="E34" s="1164">
        <v>0</v>
      </c>
      <c r="F34" s="1165">
        <v>0</v>
      </c>
      <c r="G34" s="1165">
        <v>0</v>
      </c>
      <c r="H34" s="1165">
        <v>0</v>
      </c>
      <c r="I34" s="1165">
        <v>0</v>
      </c>
      <c r="J34" s="1165">
        <v>0</v>
      </c>
      <c r="K34" s="1165">
        <v>0</v>
      </c>
      <c r="L34" s="1166">
        <v>0</v>
      </c>
      <c r="M34" s="1166">
        <v>0</v>
      </c>
      <c r="N34" s="1166">
        <v>0</v>
      </c>
      <c r="O34" s="1166">
        <v>0</v>
      </c>
      <c r="P34" s="1166">
        <v>0</v>
      </c>
      <c r="Q34" s="1166">
        <v>0</v>
      </c>
      <c r="R34" s="1166">
        <v>0</v>
      </c>
      <c r="S34" s="1166">
        <v>0</v>
      </c>
      <c r="T34" s="1166">
        <v>7727702</v>
      </c>
      <c r="U34" s="1166">
        <v>0</v>
      </c>
      <c r="V34" s="1166">
        <v>31717191</v>
      </c>
      <c r="W34" s="1166">
        <v>0</v>
      </c>
      <c r="X34" s="1166">
        <v>0</v>
      </c>
      <c r="Y34" s="1166">
        <v>0</v>
      </c>
      <c r="Z34" s="1166">
        <v>0</v>
      </c>
      <c r="AA34" s="1166">
        <v>1259742</v>
      </c>
      <c r="AB34" s="1166">
        <v>0</v>
      </c>
      <c r="AC34" s="1166">
        <v>0</v>
      </c>
      <c r="AD34" s="1166">
        <v>0</v>
      </c>
      <c r="AE34" s="1166">
        <v>0</v>
      </c>
      <c r="AF34" s="1166">
        <v>1716457</v>
      </c>
      <c r="AG34" s="1166">
        <v>0</v>
      </c>
      <c r="AH34" s="1166">
        <v>0</v>
      </c>
      <c r="AI34" s="1166">
        <v>0</v>
      </c>
      <c r="AJ34" s="1166">
        <v>0</v>
      </c>
      <c r="AK34" s="1166">
        <v>9389944</v>
      </c>
      <c r="AL34" s="1166">
        <v>0</v>
      </c>
      <c r="AM34" s="1166">
        <v>0</v>
      </c>
      <c r="AN34" s="1166">
        <v>0</v>
      </c>
      <c r="AO34" s="1166">
        <v>0</v>
      </c>
      <c r="AP34" s="1166">
        <v>0</v>
      </c>
      <c r="AQ34" s="1166">
        <v>0</v>
      </c>
      <c r="AR34" s="1166">
        <v>21253857</v>
      </c>
      <c r="AS34" s="1166">
        <v>0</v>
      </c>
      <c r="AT34" s="1166">
        <v>0</v>
      </c>
      <c r="AU34" s="1166">
        <v>0</v>
      </c>
      <c r="AV34" s="1166">
        <v>2680026</v>
      </c>
      <c r="AW34" s="1166">
        <v>0</v>
      </c>
      <c r="AX34" s="1166">
        <v>0</v>
      </c>
      <c r="AY34" s="1166">
        <v>0</v>
      </c>
      <c r="AZ34" s="1166">
        <v>0</v>
      </c>
      <c r="BA34" s="1166">
        <v>2193746</v>
      </c>
      <c r="BB34" s="1166">
        <v>0</v>
      </c>
      <c r="BC34" s="1166">
        <v>0</v>
      </c>
      <c r="BD34" s="1166">
        <v>0</v>
      </c>
      <c r="BE34" s="1166">
        <v>0</v>
      </c>
      <c r="BF34" s="1166">
        <v>13454808</v>
      </c>
      <c r="BG34" s="1166">
        <v>0</v>
      </c>
      <c r="BH34" s="1166">
        <v>0</v>
      </c>
      <c r="BI34" s="1166">
        <v>0</v>
      </c>
      <c r="BJ34" s="1166">
        <v>0</v>
      </c>
      <c r="BK34" s="1166">
        <v>0</v>
      </c>
      <c r="BL34" s="1166">
        <v>3445847</v>
      </c>
      <c r="BM34" s="1166">
        <v>0</v>
      </c>
      <c r="BN34" s="1166">
        <v>0</v>
      </c>
      <c r="BO34" s="1166">
        <v>0</v>
      </c>
      <c r="BP34" s="1166">
        <v>0</v>
      </c>
      <c r="BQ34" s="1166">
        <v>0</v>
      </c>
      <c r="BR34" s="1166">
        <v>0</v>
      </c>
      <c r="BS34" s="1166">
        <v>0</v>
      </c>
      <c r="BT34" s="1166">
        <v>0</v>
      </c>
      <c r="BU34" s="1166">
        <v>0</v>
      </c>
      <c r="BV34" s="1166">
        <v>0</v>
      </c>
      <c r="BW34" s="1166">
        <v>0</v>
      </c>
      <c r="BX34" s="1166">
        <v>0</v>
      </c>
      <c r="BY34" s="1166">
        <v>0</v>
      </c>
      <c r="BZ34" s="1166">
        <v>0</v>
      </c>
      <c r="CA34" s="1166">
        <v>0</v>
      </c>
      <c r="CB34" s="1166">
        <v>0</v>
      </c>
    </row>
    <row r="35" spans="1:80" s="1156" customFormat="1" x14ac:dyDescent="0.3">
      <c r="A35" s="1161">
        <v>48</v>
      </c>
      <c r="B35" s="1162">
        <v>48</v>
      </c>
      <c r="C35" s="1163" t="s">
        <v>123</v>
      </c>
      <c r="D35" s="1154" t="s">
        <v>339</v>
      </c>
      <c r="E35" s="1164">
        <v>0</v>
      </c>
      <c r="F35" s="1165">
        <v>0</v>
      </c>
      <c r="G35" s="1165">
        <v>0</v>
      </c>
      <c r="H35" s="1165">
        <v>0</v>
      </c>
      <c r="I35" s="1165">
        <v>0</v>
      </c>
      <c r="J35" s="1165">
        <v>0</v>
      </c>
      <c r="K35" s="1165">
        <v>0</v>
      </c>
      <c r="L35" s="1166">
        <v>0</v>
      </c>
      <c r="M35" s="1166">
        <v>0</v>
      </c>
      <c r="N35" s="1166">
        <v>0</v>
      </c>
      <c r="O35" s="1166">
        <v>0</v>
      </c>
      <c r="P35" s="1166">
        <v>0</v>
      </c>
      <c r="Q35" s="1166">
        <v>0</v>
      </c>
      <c r="R35" s="1166">
        <v>0</v>
      </c>
      <c r="S35" s="1166">
        <v>0</v>
      </c>
      <c r="T35" s="1166">
        <v>920064</v>
      </c>
      <c r="U35" s="1166">
        <v>0</v>
      </c>
      <c r="V35" s="1166">
        <v>1877002</v>
      </c>
      <c r="W35" s="1166">
        <v>0</v>
      </c>
      <c r="X35" s="1166">
        <v>0</v>
      </c>
      <c r="Y35" s="1166">
        <v>0</v>
      </c>
      <c r="Z35" s="1166">
        <v>0</v>
      </c>
      <c r="AA35" s="1166">
        <v>460826</v>
      </c>
      <c r="AB35" s="1166">
        <v>337875</v>
      </c>
      <c r="AC35" s="1166">
        <v>0</v>
      </c>
      <c r="AD35" s="1166">
        <v>0</v>
      </c>
      <c r="AE35" s="1166">
        <v>0</v>
      </c>
      <c r="AF35" s="1166">
        <v>484390</v>
      </c>
      <c r="AG35" s="1166">
        <v>0</v>
      </c>
      <c r="AH35" s="1166">
        <v>0</v>
      </c>
      <c r="AI35" s="1166">
        <v>0</v>
      </c>
      <c r="AJ35" s="1166">
        <v>0</v>
      </c>
      <c r="AK35" s="1166">
        <v>1892856</v>
      </c>
      <c r="AL35" s="1166">
        <v>0</v>
      </c>
      <c r="AM35" s="1166">
        <v>0</v>
      </c>
      <c r="AN35" s="1166">
        <v>0</v>
      </c>
      <c r="AO35" s="1166">
        <v>0</v>
      </c>
      <c r="AP35" s="1166">
        <v>0</v>
      </c>
      <c r="AQ35" s="1166">
        <v>0</v>
      </c>
      <c r="AR35" s="1166">
        <v>4304823</v>
      </c>
      <c r="AS35" s="1166">
        <v>0</v>
      </c>
      <c r="AT35" s="1166">
        <v>0</v>
      </c>
      <c r="AU35" s="1166">
        <v>0</v>
      </c>
      <c r="AV35" s="1166">
        <v>610058</v>
      </c>
      <c r="AW35" s="1166">
        <v>0</v>
      </c>
      <c r="AX35" s="1166">
        <v>0</v>
      </c>
      <c r="AY35" s="1166">
        <v>0</v>
      </c>
      <c r="AZ35" s="1166">
        <v>0</v>
      </c>
      <c r="BA35" s="1166">
        <v>549719</v>
      </c>
      <c r="BB35" s="1166">
        <v>0</v>
      </c>
      <c r="BC35" s="1166">
        <v>0</v>
      </c>
      <c r="BD35" s="1166">
        <v>0</v>
      </c>
      <c r="BE35" s="1166">
        <v>0</v>
      </c>
      <c r="BF35" s="1166">
        <v>2050350</v>
      </c>
      <c r="BG35" s="1166">
        <v>0</v>
      </c>
      <c r="BH35" s="1166">
        <v>0</v>
      </c>
      <c r="BI35" s="1166">
        <v>0</v>
      </c>
      <c r="BJ35" s="1166">
        <v>0</v>
      </c>
      <c r="BK35" s="1166">
        <v>0</v>
      </c>
      <c r="BL35" s="1166">
        <v>60643</v>
      </c>
      <c r="BM35" s="1166">
        <v>0</v>
      </c>
      <c r="BN35" s="1166">
        <v>0</v>
      </c>
      <c r="BO35" s="1166">
        <v>0</v>
      </c>
      <c r="BP35" s="1166">
        <v>0</v>
      </c>
      <c r="BQ35" s="1166">
        <v>0</v>
      </c>
      <c r="BR35" s="1166">
        <v>0</v>
      </c>
      <c r="BS35" s="1166">
        <v>0</v>
      </c>
      <c r="BT35" s="1166">
        <v>0</v>
      </c>
      <c r="BU35" s="1166">
        <v>0</v>
      </c>
      <c r="BV35" s="1166">
        <v>0</v>
      </c>
      <c r="BW35" s="1166">
        <v>0</v>
      </c>
      <c r="BX35" s="1166">
        <v>0</v>
      </c>
      <c r="BY35" s="1166">
        <v>0</v>
      </c>
      <c r="BZ35" s="1166">
        <v>0</v>
      </c>
      <c r="CA35" s="1166">
        <v>0</v>
      </c>
      <c r="CB35" s="1166">
        <v>0</v>
      </c>
    </row>
    <row r="36" spans="1:80" s="1156" customFormat="1" x14ac:dyDescent="0.3">
      <c r="A36" s="1168">
        <v>49</v>
      </c>
      <c r="B36" s="1162">
        <v>49</v>
      </c>
      <c r="C36" s="1163" t="s">
        <v>228</v>
      </c>
      <c r="D36" s="1154" t="s">
        <v>340</v>
      </c>
      <c r="E36" s="1164">
        <v>0</v>
      </c>
      <c r="F36" s="1165">
        <v>0</v>
      </c>
      <c r="G36" s="1165">
        <v>0</v>
      </c>
      <c r="H36" s="1165">
        <v>8507088</v>
      </c>
      <c r="I36" s="1165">
        <v>607690</v>
      </c>
      <c r="J36" s="1165">
        <v>20742</v>
      </c>
      <c r="K36" s="1165">
        <v>230956</v>
      </c>
      <c r="L36" s="1166">
        <v>158510</v>
      </c>
      <c r="M36" s="1166">
        <v>3077343</v>
      </c>
      <c r="N36" s="1166">
        <v>0</v>
      </c>
      <c r="O36" s="1166">
        <v>133041</v>
      </c>
      <c r="P36" s="1166">
        <v>229829</v>
      </c>
      <c r="Q36" s="1166">
        <v>0</v>
      </c>
      <c r="R36" s="1166">
        <v>726689</v>
      </c>
      <c r="S36" s="1166">
        <v>994171</v>
      </c>
      <c r="T36" s="1166">
        <v>2826556</v>
      </c>
      <c r="U36" s="1166">
        <v>0</v>
      </c>
      <c r="V36" s="1166">
        <v>2928755</v>
      </c>
      <c r="W36" s="1166">
        <v>0</v>
      </c>
      <c r="X36" s="1166">
        <v>0</v>
      </c>
      <c r="Y36" s="1166">
        <v>0</v>
      </c>
      <c r="Z36" s="1166">
        <v>270167</v>
      </c>
      <c r="AA36" s="1166">
        <v>400179</v>
      </c>
      <c r="AB36" s="1166">
        <v>311626</v>
      </c>
      <c r="AC36" s="1166">
        <v>0</v>
      </c>
      <c r="AD36" s="1166">
        <v>4177</v>
      </c>
      <c r="AE36" s="1166">
        <v>294712</v>
      </c>
      <c r="AF36" s="1166">
        <v>555373</v>
      </c>
      <c r="AG36" s="1166">
        <v>25726</v>
      </c>
      <c r="AH36" s="1166">
        <v>0</v>
      </c>
      <c r="AI36" s="1166">
        <v>0</v>
      </c>
      <c r="AJ36" s="1166">
        <v>65943</v>
      </c>
      <c r="AK36" s="1166">
        <v>1484970</v>
      </c>
      <c r="AL36" s="1166">
        <v>52740</v>
      </c>
      <c r="AM36" s="1166">
        <v>0</v>
      </c>
      <c r="AN36" s="1166">
        <v>1397189</v>
      </c>
      <c r="AO36" s="1166">
        <v>1604238</v>
      </c>
      <c r="AP36" s="1166">
        <v>12708</v>
      </c>
      <c r="AQ36" s="1166">
        <v>0</v>
      </c>
      <c r="AR36" s="1166">
        <v>1423323</v>
      </c>
      <c r="AS36" s="1166">
        <v>260547</v>
      </c>
      <c r="AT36" s="1166">
        <v>120311</v>
      </c>
      <c r="AU36" s="1166">
        <v>260639</v>
      </c>
      <c r="AV36" s="1166">
        <v>1695166</v>
      </c>
      <c r="AW36" s="1166">
        <v>60968</v>
      </c>
      <c r="AX36" s="1166">
        <v>175643</v>
      </c>
      <c r="AY36" s="1166">
        <v>294430</v>
      </c>
      <c r="AZ36" s="1166">
        <v>384632</v>
      </c>
      <c r="BA36" s="1166">
        <v>584323</v>
      </c>
      <c r="BB36" s="1166">
        <v>0</v>
      </c>
      <c r="BC36" s="1166">
        <v>142574</v>
      </c>
      <c r="BD36" s="1166">
        <v>0</v>
      </c>
      <c r="BE36" s="1166">
        <v>0</v>
      </c>
      <c r="BF36" s="1166">
        <v>1969711</v>
      </c>
      <c r="BG36" s="1166">
        <v>0</v>
      </c>
      <c r="BH36" s="1166">
        <v>0</v>
      </c>
      <c r="BI36" s="1166">
        <v>292962</v>
      </c>
      <c r="BJ36" s="1166">
        <v>189870</v>
      </c>
      <c r="BK36" s="1166">
        <v>248741</v>
      </c>
      <c r="BL36" s="1166">
        <v>365807</v>
      </c>
      <c r="BM36" s="1166">
        <v>324170</v>
      </c>
      <c r="BN36" s="1166">
        <v>0</v>
      </c>
      <c r="BO36" s="1166">
        <v>909491</v>
      </c>
      <c r="BP36" s="1166">
        <v>276639</v>
      </c>
      <c r="BQ36" s="1166">
        <v>319635</v>
      </c>
      <c r="BR36" s="1166">
        <v>176712</v>
      </c>
      <c r="BS36" s="1166">
        <v>0</v>
      </c>
      <c r="BT36" s="1166">
        <v>0</v>
      </c>
      <c r="BU36" s="1166">
        <v>253074</v>
      </c>
      <c r="BV36" s="1166">
        <v>545811</v>
      </c>
      <c r="BW36" s="1166">
        <v>149166</v>
      </c>
      <c r="BX36" s="1166">
        <v>452547</v>
      </c>
      <c r="BY36" s="1166">
        <v>0</v>
      </c>
      <c r="BZ36" s="1166">
        <v>0</v>
      </c>
      <c r="CA36" s="1166">
        <v>1551766</v>
      </c>
      <c r="CB36" s="1166">
        <v>0</v>
      </c>
    </row>
    <row r="37" spans="1:80" s="1156" customFormat="1" x14ac:dyDescent="0.3">
      <c r="A37" s="1168">
        <v>50</v>
      </c>
      <c r="B37" s="1162">
        <v>50</v>
      </c>
      <c r="C37" s="1163" t="s">
        <v>100</v>
      </c>
      <c r="D37" s="1154" t="s">
        <v>341</v>
      </c>
      <c r="E37" s="1164">
        <v>0</v>
      </c>
      <c r="F37" s="1165">
        <v>0</v>
      </c>
      <c r="G37" s="1165">
        <v>0</v>
      </c>
      <c r="H37" s="1165">
        <v>1959550</v>
      </c>
      <c r="I37" s="1165">
        <v>1368771</v>
      </c>
      <c r="J37" s="1165">
        <v>-27479</v>
      </c>
      <c r="K37" s="1165">
        <v>319749</v>
      </c>
      <c r="L37" s="1166">
        <v>218265</v>
      </c>
      <c r="M37" s="1166">
        <v>1863655</v>
      </c>
      <c r="N37" s="1166">
        <v>0</v>
      </c>
      <c r="O37" s="1166">
        <v>33192</v>
      </c>
      <c r="P37" s="1166">
        <v>-148790</v>
      </c>
      <c r="Q37" s="1166">
        <v>0</v>
      </c>
      <c r="R37" s="1166">
        <v>1184745</v>
      </c>
      <c r="S37" s="1166">
        <v>378496</v>
      </c>
      <c r="T37" s="1166">
        <v>-89352</v>
      </c>
      <c r="U37" s="1166">
        <v>0</v>
      </c>
      <c r="V37" s="1166">
        <v>1451050</v>
      </c>
      <c r="W37" s="1166">
        <v>0</v>
      </c>
      <c r="X37" s="1166">
        <v>0</v>
      </c>
      <c r="Y37" s="1166">
        <v>982</v>
      </c>
      <c r="Z37" s="1166">
        <v>289604</v>
      </c>
      <c r="AA37" s="1166">
        <v>205377</v>
      </c>
      <c r="AB37" s="1166">
        <v>66744</v>
      </c>
      <c r="AC37" s="1166">
        <v>0</v>
      </c>
      <c r="AD37" s="1166">
        <v>4478</v>
      </c>
      <c r="AE37" s="1166">
        <v>-107867</v>
      </c>
      <c r="AF37" s="1166">
        <v>150406</v>
      </c>
      <c r="AG37" s="1166">
        <v>-28212</v>
      </c>
      <c r="AH37" s="1166">
        <v>0</v>
      </c>
      <c r="AI37" s="1166">
        <v>0</v>
      </c>
      <c r="AJ37" s="1166">
        <v>-23458</v>
      </c>
      <c r="AK37" s="1166">
        <v>1285545</v>
      </c>
      <c r="AL37" s="1166">
        <v>-53274</v>
      </c>
      <c r="AM37" s="1166">
        <v>0</v>
      </c>
      <c r="AN37" s="1166">
        <v>3089198</v>
      </c>
      <c r="AO37" s="1166">
        <v>1428093</v>
      </c>
      <c r="AP37" s="1166">
        <v>715779</v>
      </c>
      <c r="AQ37" s="1166">
        <v>0</v>
      </c>
      <c r="AR37" s="1166">
        <v>-729534</v>
      </c>
      <c r="AS37" s="1166">
        <v>1929</v>
      </c>
      <c r="AT37" s="1166">
        <v>-94826</v>
      </c>
      <c r="AU37" s="1166">
        <v>60387</v>
      </c>
      <c r="AV37" s="1166">
        <v>668325</v>
      </c>
      <c r="AW37" s="1166">
        <v>50432</v>
      </c>
      <c r="AX37" s="1166">
        <v>338783</v>
      </c>
      <c r="AY37" s="1166">
        <v>609195</v>
      </c>
      <c r="AZ37" s="1166">
        <v>-88837</v>
      </c>
      <c r="BA37" s="1166">
        <v>4461</v>
      </c>
      <c r="BB37" s="1166">
        <v>-14536</v>
      </c>
      <c r="BC37" s="1166">
        <v>3398</v>
      </c>
      <c r="BD37" s="1166">
        <v>0</v>
      </c>
      <c r="BE37" s="1166">
        <v>0</v>
      </c>
      <c r="BF37" s="1166">
        <v>1544466</v>
      </c>
      <c r="BG37" s="1166">
        <v>0</v>
      </c>
      <c r="BH37" s="1166">
        <v>0</v>
      </c>
      <c r="BI37" s="1166">
        <v>217225</v>
      </c>
      <c r="BJ37" s="1166">
        <v>131142</v>
      </c>
      <c r="BK37" s="1166">
        <v>-236196</v>
      </c>
      <c r="BL37" s="1166">
        <v>-32085</v>
      </c>
      <c r="BM37" s="1166">
        <v>223201</v>
      </c>
      <c r="BN37" s="1166">
        <v>0</v>
      </c>
      <c r="BO37" s="1166">
        <v>-361105</v>
      </c>
      <c r="BP37" s="1166">
        <v>249720</v>
      </c>
      <c r="BQ37" s="1166">
        <v>-136759</v>
      </c>
      <c r="BR37" s="1166">
        <v>-1475914</v>
      </c>
      <c r="BS37" s="1166">
        <v>0</v>
      </c>
      <c r="BT37" s="1166">
        <v>0</v>
      </c>
      <c r="BU37" s="1166">
        <v>-164984</v>
      </c>
      <c r="BV37" s="1166">
        <v>-21399</v>
      </c>
      <c r="BW37" s="1166">
        <v>866377</v>
      </c>
      <c r="BX37" s="1166">
        <v>-856853</v>
      </c>
      <c r="BY37" s="1166">
        <v>0</v>
      </c>
      <c r="BZ37" s="1166">
        <v>0</v>
      </c>
      <c r="CA37" s="1166">
        <v>5854413</v>
      </c>
      <c r="CB37" s="1166">
        <v>0</v>
      </c>
    </row>
    <row r="38" spans="1:80" s="1156" customFormat="1" x14ac:dyDescent="0.3">
      <c r="A38" s="1168">
        <v>51</v>
      </c>
      <c r="B38" s="1162">
        <v>51</v>
      </c>
      <c r="C38" s="1163" t="s">
        <v>246</v>
      </c>
      <c r="D38" s="1154" t="s">
        <v>342</v>
      </c>
      <c r="E38" s="1164">
        <v>0</v>
      </c>
      <c r="F38" s="1165">
        <v>0</v>
      </c>
      <c r="G38" s="1165">
        <v>0</v>
      </c>
      <c r="H38" s="1165">
        <v>12921303</v>
      </c>
      <c r="I38" s="1165">
        <v>1718346</v>
      </c>
      <c r="J38" s="1165">
        <v>13494</v>
      </c>
      <c r="K38" s="1165">
        <v>253236</v>
      </c>
      <c r="L38" s="1166">
        <v>205842</v>
      </c>
      <c r="M38" s="1166">
        <v>6145194</v>
      </c>
      <c r="N38" s="1166">
        <v>0</v>
      </c>
      <c r="O38" s="1166">
        <v>89541</v>
      </c>
      <c r="P38" s="1166">
        <v>130451</v>
      </c>
      <c r="Q38" s="1166">
        <v>0</v>
      </c>
      <c r="R38" s="1166">
        <v>1507926</v>
      </c>
      <c r="S38" s="1166">
        <v>1663545</v>
      </c>
      <c r="T38" s="1166">
        <v>2535341</v>
      </c>
      <c r="U38" s="1166">
        <v>0</v>
      </c>
      <c r="V38" s="1166">
        <v>4309705</v>
      </c>
      <c r="W38" s="1166">
        <v>0</v>
      </c>
      <c r="X38" s="1166">
        <v>0</v>
      </c>
      <c r="Y38" s="1166">
        <v>0</v>
      </c>
      <c r="Z38" s="1166">
        <v>685494</v>
      </c>
      <c r="AA38" s="1166">
        <v>350912</v>
      </c>
      <c r="AB38" s="1166">
        <v>374042</v>
      </c>
      <c r="AC38" s="1166">
        <v>0</v>
      </c>
      <c r="AD38" s="1166">
        <v>-1512</v>
      </c>
      <c r="AE38" s="1166">
        <v>218063</v>
      </c>
      <c r="AF38" s="1166">
        <v>821653</v>
      </c>
      <c r="AG38" s="1166">
        <v>-1897</v>
      </c>
      <c r="AH38" s="1166">
        <v>0</v>
      </c>
      <c r="AI38" s="1166">
        <v>0</v>
      </c>
      <c r="AJ38" s="1166">
        <v>47559</v>
      </c>
      <c r="AK38" s="1166">
        <v>2490388</v>
      </c>
      <c r="AL38" s="1166">
        <v>-35475</v>
      </c>
      <c r="AM38" s="1166">
        <v>0</v>
      </c>
      <c r="AN38" s="1166">
        <v>5298617</v>
      </c>
      <c r="AO38" s="1166">
        <v>3635338</v>
      </c>
      <c r="AP38" s="1166">
        <v>24331</v>
      </c>
      <c r="AQ38" s="1166">
        <v>0</v>
      </c>
      <c r="AR38" s="1166">
        <v>1809299</v>
      </c>
      <c r="AS38" s="1166">
        <v>27592</v>
      </c>
      <c r="AT38" s="1166">
        <v>15698</v>
      </c>
      <c r="AU38" s="1166">
        <v>12304</v>
      </c>
      <c r="AV38" s="1166">
        <v>2824949</v>
      </c>
      <c r="AW38" s="1166">
        <v>141892</v>
      </c>
      <c r="AX38" s="1166">
        <v>-30776</v>
      </c>
      <c r="AY38" s="1166">
        <v>952068</v>
      </c>
      <c r="AZ38" s="1166">
        <v>367844</v>
      </c>
      <c r="BA38" s="1166">
        <v>351769</v>
      </c>
      <c r="BB38" s="1166">
        <v>-89650</v>
      </c>
      <c r="BC38" s="1166">
        <v>144505</v>
      </c>
      <c r="BD38" s="1166">
        <v>0</v>
      </c>
      <c r="BE38" s="1166">
        <v>0</v>
      </c>
      <c r="BF38" s="1166">
        <v>1790295</v>
      </c>
      <c r="BG38" s="1166">
        <v>0</v>
      </c>
      <c r="BH38" s="1166">
        <v>0</v>
      </c>
      <c r="BI38" s="1166">
        <v>138040</v>
      </c>
      <c r="BJ38" s="1166">
        <v>377679</v>
      </c>
      <c r="BK38" s="1166">
        <v>0</v>
      </c>
      <c r="BL38" s="1166">
        <v>298735</v>
      </c>
      <c r="BM38" s="1166">
        <v>593186</v>
      </c>
      <c r="BN38" s="1166">
        <v>0</v>
      </c>
      <c r="BO38" s="1166">
        <v>766093</v>
      </c>
      <c r="BP38" s="1166">
        <v>721130</v>
      </c>
      <c r="BQ38" s="1166">
        <v>224681</v>
      </c>
      <c r="BR38" s="1166">
        <v>244949</v>
      </c>
      <c r="BS38" s="1166">
        <v>0</v>
      </c>
      <c r="BT38" s="1166">
        <v>0</v>
      </c>
      <c r="BU38" s="1166">
        <v>39498</v>
      </c>
      <c r="BV38" s="1166">
        <v>526379</v>
      </c>
      <c r="BW38" s="1166">
        <v>84534</v>
      </c>
      <c r="BX38" s="1166">
        <v>231899</v>
      </c>
      <c r="BY38" s="1166">
        <v>0</v>
      </c>
      <c r="BZ38" s="1166">
        <v>0</v>
      </c>
      <c r="CA38" s="1166">
        <v>2517092</v>
      </c>
      <c r="CB38" s="1166">
        <v>0</v>
      </c>
    </row>
    <row r="39" spans="1:80" s="1156" customFormat="1" x14ac:dyDescent="0.3">
      <c r="A39" s="1161">
        <v>52</v>
      </c>
      <c r="B39" s="1162">
        <v>52</v>
      </c>
      <c r="C39" s="1163" t="s">
        <v>239</v>
      </c>
      <c r="D39" s="1154" t="s">
        <v>343</v>
      </c>
      <c r="E39" s="1164">
        <v>0</v>
      </c>
      <c r="F39" s="1165">
        <v>0</v>
      </c>
      <c r="G39" s="1165">
        <v>0</v>
      </c>
      <c r="H39" s="1165">
        <v>0</v>
      </c>
      <c r="I39" s="1165">
        <v>0</v>
      </c>
      <c r="J39" s="1165">
        <v>0</v>
      </c>
      <c r="K39" s="1165">
        <v>0</v>
      </c>
      <c r="L39" s="1166">
        <v>0</v>
      </c>
      <c r="M39" s="1166">
        <v>0</v>
      </c>
      <c r="N39" s="1166">
        <v>0</v>
      </c>
      <c r="O39" s="1166">
        <v>0</v>
      </c>
      <c r="P39" s="1166">
        <v>0</v>
      </c>
      <c r="Q39" s="1166">
        <v>0</v>
      </c>
      <c r="R39" s="1166">
        <v>0</v>
      </c>
      <c r="S39" s="1166">
        <v>0</v>
      </c>
      <c r="T39" s="1166">
        <v>776524</v>
      </c>
      <c r="U39" s="1166">
        <v>0</v>
      </c>
      <c r="V39" s="1166">
        <v>1204505</v>
      </c>
      <c r="W39" s="1166">
        <v>0</v>
      </c>
      <c r="X39" s="1166">
        <v>0</v>
      </c>
      <c r="Y39" s="1166">
        <v>0</v>
      </c>
      <c r="Z39" s="1166">
        <v>0</v>
      </c>
      <c r="AA39" s="1166">
        <v>113361</v>
      </c>
      <c r="AB39" s="1166">
        <v>87084</v>
      </c>
      <c r="AC39" s="1166">
        <v>0</v>
      </c>
      <c r="AD39" s="1166">
        <v>0</v>
      </c>
      <c r="AE39" s="1166">
        <v>0</v>
      </c>
      <c r="AF39" s="1166">
        <v>162259</v>
      </c>
      <c r="AG39" s="1166">
        <v>0</v>
      </c>
      <c r="AH39" s="1166">
        <v>0</v>
      </c>
      <c r="AI39" s="1166">
        <v>0</v>
      </c>
      <c r="AJ39" s="1166">
        <v>0</v>
      </c>
      <c r="AK39" s="1166">
        <v>453152</v>
      </c>
      <c r="AL39" s="1166">
        <v>0</v>
      </c>
      <c r="AM39" s="1166">
        <v>0</v>
      </c>
      <c r="AN39" s="1166">
        <v>0</v>
      </c>
      <c r="AO39" s="1166">
        <v>0</v>
      </c>
      <c r="AP39" s="1166">
        <v>0</v>
      </c>
      <c r="AQ39" s="1166">
        <v>0</v>
      </c>
      <c r="AR39" s="1166">
        <v>1329794</v>
      </c>
      <c r="AS39" s="1166">
        <v>0</v>
      </c>
      <c r="AT39" s="1166">
        <v>0</v>
      </c>
      <c r="AU39" s="1166">
        <v>0</v>
      </c>
      <c r="AV39" s="1166">
        <v>162528</v>
      </c>
      <c r="AW39" s="1166">
        <v>0</v>
      </c>
      <c r="AX39" s="1166">
        <v>0</v>
      </c>
      <c r="AY39" s="1166">
        <v>0</v>
      </c>
      <c r="AZ39" s="1166">
        <v>0</v>
      </c>
      <c r="BA39" s="1166">
        <v>236152</v>
      </c>
      <c r="BB39" s="1166">
        <v>0</v>
      </c>
      <c r="BC39" s="1166">
        <v>0</v>
      </c>
      <c r="BD39" s="1166">
        <v>0</v>
      </c>
      <c r="BE39" s="1166">
        <v>0</v>
      </c>
      <c r="BF39" s="1166">
        <v>849783</v>
      </c>
      <c r="BG39" s="1166">
        <v>0</v>
      </c>
      <c r="BH39" s="1166">
        <v>0</v>
      </c>
      <c r="BI39" s="1166">
        <v>0</v>
      </c>
      <c r="BJ39" s="1166">
        <v>0</v>
      </c>
      <c r="BK39" s="1166">
        <v>0</v>
      </c>
      <c r="BL39" s="1166">
        <v>164876</v>
      </c>
      <c r="BM39" s="1166">
        <v>0</v>
      </c>
      <c r="BN39" s="1166">
        <v>0</v>
      </c>
      <c r="BO39" s="1166">
        <v>0</v>
      </c>
      <c r="BP39" s="1166">
        <v>0</v>
      </c>
      <c r="BQ39" s="1166">
        <v>0</v>
      </c>
      <c r="BR39" s="1166">
        <v>0</v>
      </c>
      <c r="BS39" s="1166">
        <v>0</v>
      </c>
      <c r="BT39" s="1166">
        <v>0</v>
      </c>
      <c r="BU39" s="1166">
        <v>0</v>
      </c>
      <c r="BV39" s="1166">
        <v>0</v>
      </c>
      <c r="BW39" s="1166">
        <v>0</v>
      </c>
      <c r="BX39" s="1166">
        <v>0</v>
      </c>
      <c r="BY39" s="1166">
        <v>0</v>
      </c>
      <c r="BZ39" s="1166">
        <v>0</v>
      </c>
      <c r="CA39" s="1166">
        <v>0</v>
      </c>
      <c r="CB39" s="1166">
        <v>0</v>
      </c>
    </row>
    <row r="40" spans="1:80" s="1156" customFormat="1" x14ac:dyDescent="0.3">
      <c r="A40" s="1161">
        <v>53</v>
      </c>
      <c r="B40" s="1162">
        <v>53</v>
      </c>
      <c r="C40" s="1163" t="s">
        <v>101</v>
      </c>
      <c r="D40" s="1154" t="s">
        <v>344</v>
      </c>
      <c r="E40" s="1164">
        <v>0</v>
      </c>
      <c r="F40" s="1165">
        <v>0</v>
      </c>
      <c r="G40" s="1165">
        <v>0</v>
      </c>
      <c r="H40" s="1165">
        <v>0</v>
      </c>
      <c r="I40" s="1165">
        <v>0</v>
      </c>
      <c r="J40" s="1165">
        <v>0</v>
      </c>
      <c r="K40" s="1165">
        <v>0</v>
      </c>
      <c r="L40" s="1166">
        <v>0</v>
      </c>
      <c r="M40" s="1166">
        <v>0</v>
      </c>
      <c r="N40" s="1166">
        <v>0</v>
      </c>
      <c r="O40" s="1166">
        <v>0</v>
      </c>
      <c r="P40" s="1166">
        <v>0</v>
      </c>
      <c r="Q40" s="1166">
        <v>0</v>
      </c>
      <c r="R40" s="1166">
        <v>0</v>
      </c>
      <c r="S40" s="1166">
        <v>0</v>
      </c>
      <c r="T40" s="1166">
        <v>1244922</v>
      </c>
      <c r="U40" s="1166">
        <v>0</v>
      </c>
      <c r="V40" s="1166">
        <v>8852192</v>
      </c>
      <c r="W40" s="1166">
        <v>0</v>
      </c>
      <c r="X40" s="1166">
        <v>0</v>
      </c>
      <c r="Y40" s="1166">
        <v>0</v>
      </c>
      <c r="Z40" s="1166">
        <v>0</v>
      </c>
      <c r="AA40" s="1166">
        <v>-65604</v>
      </c>
      <c r="AB40" s="1166">
        <v>-306955</v>
      </c>
      <c r="AC40" s="1166">
        <v>0</v>
      </c>
      <c r="AD40" s="1166">
        <v>0</v>
      </c>
      <c r="AE40" s="1166">
        <v>0</v>
      </c>
      <c r="AF40" s="1166">
        <v>602329</v>
      </c>
      <c r="AG40" s="1166">
        <v>0</v>
      </c>
      <c r="AH40" s="1166">
        <v>0</v>
      </c>
      <c r="AI40" s="1166">
        <v>0</v>
      </c>
      <c r="AJ40" s="1166">
        <v>0</v>
      </c>
      <c r="AK40" s="1166">
        <v>949712</v>
      </c>
      <c r="AL40" s="1166">
        <v>0</v>
      </c>
      <c r="AM40" s="1166">
        <v>0</v>
      </c>
      <c r="AN40" s="1166">
        <v>0</v>
      </c>
      <c r="AO40" s="1166">
        <v>0</v>
      </c>
      <c r="AP40" s="1166">
        <v>0</v>
      </c>
      <c r="AQ40" s="1166">
        <v>0</v>
      </c>
      <c r="AR40" s="1166">
        <v>9646634</v>
      </c>
      <c r="AS40" s="1166">
        <v>0</v>
      </c>
      <c r="AT40" s="1166">
        <v>0</v>
      </c>
      <c r="AU40" s="1166">
        <v>0</v>
      </c>
      <c r="AV40" s="1166">
        <v>1107026</v>
      </c>
      <c r="AW40" s="1166">
        <v>0</v>
      </c>
      <c r="AX40" s="1166">
        <v>0</v>
      </c>
      <c r="AY40" s="1166">
        <v>0</v>
      </c>
      <c r="AZ40" s="1166">
        <v>0</v>
      </c>
      <c r="BA40" s="1166">
        <v>-203934</v>
      </c>
      <c r="BB40" s="1166">
        <v>0</v>
      </c>
      <c r="BC40" s="1166">
        <v>0</v>
      </c>
      <c r="BD40" s="1166">
        <v>0</v>
      </c>
      <c r="BE40" s="1166">
        <v>0</v>
      </c>
      <c r="BF40" s="1166">
        <v>619333</v>
      </c>
      <c r="BG40" s="1166">
        <v>0</v>
      </c>
      <c r="BH40" s="1166">
        <v>0</v>
      </c>
      <c r="BI40" s="1166">
        <v>0</v>
      </c>
      <c r="BJ40" s="1166">
        <v>0</v>
      </c>
      <c r="BK40" s="1166">
        <v>0</v>
      </c>
      <c r="BL40" s="1166">
        <v>959534</v>
      </c>
      <c r="BM40" s="1166">
        <v>0</v>
      </c>
      <c r="BN40" s="1166">
        <v>0</v>
      </c>
      <c r="BO40" s="1166">
        <v>0</v>
      </c>
      <c r="BP40" s="1166">
        <v>0</v>
      </c>
      <c r="BQ40" s="1166">
        <v>0</v>
      </c>
      <c r="BR40" s="1166">
        <v>0</v>
      </c>
      <c r="BS40" s="1166">
        <v>0</v>
      </c>
      <c r="BT40" s="1166">
        <v>0</v>
      </c>
      <c r="BU40" s="1166">
        <v>0</v>
      </c>
      <c r="BV40" s="1166">
        <v>0</v>
      </c>
      <c r="BW40" s="1166">
        <v>0</v>
      </c>
      <c r="BX40" s="1166">
        <v>0</v>
      </c>
      <c r="BY40" s="1166">
        <v>0</v>
      </c>
      <c r="BZ40" s="1166">
        <v>0</v>
      </c>
      <c r="CA40" s="1166">
        <v>0</v>
      </c>
      <c r="CB40" s="1166">
        <v>0</v>
      </c>
    </row>
    <row r="41" spans="1:80" s="1156" customFormat="1" x14ac:dyDescent="0.3">
      <c r="A41" s="1154"/>
      <c r="B41" s="1162">
        <v>54</v>
      </c>
      <c r="C41" s="1163" t="s">
        <v>631</v>
      </c>
      <c r="D41" s="1154" t="s">
        <v>345</v>
      </c>
      <c r="E41" s="1164"/>
      <c r="F41" s="1165"/>
      <c r="G41" s="1165"/>
      <c r="H41" s="1165"/>
      <c r="I41" s="1165"/>
      <c r="J41" s="1165"/>
      <c r="K41" s="1165"/>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6"/>
      <c r="AI41" s="1166"/>
      <c r="AJ41" s="1166"/>
      <c r="AK41" s="1166"/>
      <c r="AL41" s="1166"/>
      <c r="AM41" s="1166"/>
      <c r="AN41" s="1166"/>
      <c r="AO41" s="1166"/>
      <c r="AP41" s="1166"/>
      <c r="AQ41" s="1166"/>
      <c r="AR41" s="1166"/>
      <c r="AS41" s="1166"/>
      <c r="AT41" s="1166"/>
      <c r="AU41" s="1166"/>
      <c r="AV41" s="1166"/>
      <c r="AW41" s="1166"/>
      <c r="AX41" s="1166"/>
      <c r="AY41" s="1166"/>
      <c r="AZ41" s="1166"/>
      <c r="BA41" s="1166"/>
      <c r="BB41" s="1166"/>
      <c r="BC41" s="1166"/>
      <c r="BD41" s="1166"/>
      <c r="BE41" s="1166"/>
      <c r="BF41" s="1166"/>
      <c r="BG41" s="1166"/>
      <c r="BH41" s="1166"/>
      <c r="BI41" s="1166"/>
      <c r="BJ41" s="1166"/>
      <c r="BK41" s="1166"/>
      <c r="BL41" s="1166"/>
      <c r="BM41" s="1166"/>
      <c r="BN41" s="1166"/>
      <c r="BO41" s="1166"/>
      <c r="BP41" s="1166"/>
      <c r="BQ41" s="1166"/>
      <c r="BR41" s="1166"/>
      <c r="BS41" s="1166"/>
      <c r="BT41" s="1166"/>
      <c r="BU41" s="1166"/>
      <c r="BV41" s="1166"/>
      <c r="BW41" s="1166"/>
      <c r="BX41" s="1166"/>
      <c r="BY41" s="1166"/>
      <c r="BZ41" s="1166"/>
      <c r="CA41" s="1166"/>
      <c r="CB41" s="1166"/>
    </row>
    <row r="42" spans="1:80" s="1156" customFormat="1" x14ac:dyDescent="0.3">
      <c r="A42" s="1161">
        <v>55</v>
      </c>
      <c r="B42" s="1162">
        <v>55</v>
      </c>
      <c r="C42" s="1163" t="s">
        <v>249</v>
      </c>
      <c r="D42" s="1154" t="s">
        <v>346</v>
      </c>
      <c r="E42" s="1164">
        <v>0</v>
      </c>
      <c r="F42" s="1165">
        <v>0</v>
      </c>
      <c r="G42" s="1165">
        <v>0</v>
      </c>
      <c r="H42" s="1165">
        <v>0</v>
      </c>
      <c r="I42" s="1165">
        <v>0</v>
      </c>
      <c r="J42" s="1165">
        <v>0</v>
      </c>
      <c r="K42" s="1165">
        <v>0</v>
      </c>
      <c r="L42" s="1166">
        <v>0</v>
      </c>
      <c r="M42" s="1166">
        <v>0</v>
      </c>
      <c r="N42" s="1166">
        <v>0</v>
      </c>
      <c r="O42" s="1166">
        <v>0</v>
      </c>
      <c r="P42" s="1166">
        <v>0</v>
      </c>
      <c r="Q42" s="1166">
        <v>0</v>
      </c>
      <c r="R42" s="1166">
        <v>0</v>
      </c>
      <c r="S42" s="1166">
        <v>0</v>
      </c>
      <c r="T42" s="1166">
        <v>5621127</v>
      </c>
      <c r="U42" s="1166">
        <v>0</v>
      </c>
      <c r="V42" s="1166">
        <v>8772066</v>
      </c>
      <c r="W42" s="1166">
        <v>0</v>
      </c>
      <c r="X42" s="1166">
        <v>0</v>
      </c>
      <c r="Y42" s="1166">
        <v>0</v>
      </c>
      <c r="Z42" s="1166">
        <v>0</v>
      </c>
      <c r="AA42" s="1166">
        <v>87576</v>
      </c>
      <c r="AB42" s="1166">
        <v>-221251</v>
      </c>
      <c r="AC42" s="1166">
        <v>0</v>
      </c>
      <c r="AD42" s="1166">
        <v>0</v>
      </c>
      <c r="AE42" s="1166">
        <v>0</v>
      </c>
      <c r="AF42" s="1166">
        <v>1099508</v>
      </c>
      <c r="AG42" s="1166">
        <v>0</v>
      </c>
      <c r="AH42" s="1166">
        <v>0</v>
      </c>
      <c r="AI42" s="1166">
        <v>0</v>
      </c>
      <c r="AJ42" s="1166">
        <v>0</v>
      </c>
      <c r="AK42" s="1166">
        <v>1663800</v>
      </c>
      <c r="AL42" s="1166">
        <v>0</v>
      </c>
      <c r="AM42" s="1166">
        <v>0</v>
      </c>
      <c r="AN42" s="1166">
        <v>0</v>
      </c>
      <c r="AO42" s="1166">
        <v>0</v>
      </c>
      <c r="AP42" s="1166">
        <v>0</v>
      </c>
      <c r="AQ42" s="1166">
        <v>0</v>
      </c>
      <c r="AR42" s="1166">
        <v>2958930</v>
      </c>
      <c r="AS42" s="1166">
        <v>0</v>
      </c>
      <c r="AT42" s="1166">
        <v>0</v>
      </c>
      <c r="AU42" s="1166">
        <v>0</v>
      </c>
      <c r="AV42" s="1166">
        <v>1295545</v>
      </c>
      <c r="AW42" s="1166">
        <v>0</v>
      </c>
      <c r="AX42" s="1166">
        <v>0</v>
      </c>
      <c r="AY42" s="1166">
        <v>0</v>
      </c>
      <c r="AZ42" s="1166">
        <v>0</v>
      </c>
      <c r="BA42" s="1166">
        <v>299194</v>
      </c>
      <c r="BB42" s="1166">
        <v>0</v>
      </c>
      <c r="BC42" s="1166">
        <v>0</v>
      </c>
      <c r="BD42" s="1166">
        <v>0</v>
      </c>
      <c r="BE42" s="1166">
        <v>0</v>
      </c>
      <c r="BF42" s="1166">
        <v>2547456</v>
      </c>
      <c r="BG42" s="1166">
        <v>0</v>
      </c>
      <c r="BH42" s="1166">
        <v>0</v>
      </c>
      <c r="BI42" s="1166">
        <v>0</v>
      </c>
      <c r="BJ42" s="1166">
        <v>0</v>
      </c>
      <c r="BK42" s="1166">
        <v>0</v>
      </c>
      <c r="BL42" s="1166">
        <v>1374630</v>
      </c>
      <c r="BM42" s="1166">
        <v>0</v>
      </c>
      <c r="BN42" s="1166">
        <v>0</v>
      </c>
      <c r="BO42" s="1166">
        <v>0</v>
      </c>
      <c r="BP42" s="1166">
        <v>0</v>
      </c>
      <c r="BQ42" s="1166">
        <v>0</v>
      </c>
      <c r="BR42" s="1166">
        <v>0</v>
      </c>
      <c r="BS42" s="1166">
        <v>0</v>
      </c>
      <c r="BT42" s="1166">
        <v>0</v>
      </c>
      <c r="BU42" s="1166">
        <v>0</v>
      </c>
      <c r="BV42" s="1166">
        <v>0</v>
      </c>
      <c r="BW42" s="1166">
        <v>0</v>
      </c>
      <c r="BX42" s="1166">
        <v>0</v>
      </c>
      <c r="BY42" s="1166">
        <v>0</v>
      </c>
      <c r="BZ42" s="1166">
        <v>0</v>
      </c>
      <c r="CA42" s="1166">
        <v>0</v>
      </c>
      <c r="CB42" s="1166">
        <v>0</v>
      </c>
    </row>
    <row r="43" spans="1:80" s="1172" customFormat="1" x14ac:dyDescent="0.3">
      <c r="A43" s="1161">
        <v>61</v>
      </c>
      <c r="B43" s="1162">
        <v>61</v>
      </c>
      <c r="C43" s="1163" t="s">
        <v>268</v>
      </c>
      <c r="D43" s="1154" t="s">
        <v>347</v>
      </c>
      <c r="E43" s="1169">
        <v>99.77</v>
      </c>
      <c r="F43" s="1170">
        <v>99.33</v>
      </c>
      <c r="G43" s="1170">
        <v>0</v>
      </c>
      <c r="H43" s="1170">
        <v>99.22</v>
      </c>
      <c r="I43" s="1170">
        <v>99.57</v>
      </c>
      <c r="J43" s="1170">
        <v>87.64</v>
      </c>
      <c r="K43" s="1170">
        <v>93.89</v>
      </c>
      <c r="L43" s="1171">
        <v>96.94</v>
      </c>
      <c r="M43" s="1171">
        <v>97.95</v>
      </c>
      <c r="N43" s="1171">
        <v>94.16</v>
      </c>
      <c r="O43" s="1171">
        <v>97.17</v>
      </c>
      <c r="P43" s="1171">
        <v>98.7</v>
      </c>
      <c r="Q43" s="1171">
        <v>99.57</v>
      </c>
      <c r="R43" s="1171">
        <v>99.39</v>
      </c>
      <c r="S43" s="1171">
        <v>98.53</v>
      </c>
      <c r="T43" s="1171">
        <v>99.34</v>
      </c>
      <c r="U43" s="1171">
        <v>0</v>
      </c>
      <c r="V43" s="1171">
        <v>97.58</v>
      </c>
      <c r="W43" s="1171">
        <v>94.33</v>
      </c>
      <c r="X43" s="1171">
        <v>99.3</v>
      </c>
      <c r="Y43" s="1171">
        <v>99.62</v>
      </c>
      <c r="Z43" s="1171">
        <v>99.53</v>
      </c>
      <c r="AA43" s="1171">
        <v>95.16</v>
      </c>
      <c r="AB43" s="1171">
        <v>98.73</v>
      </c>
      <c r="AC43" s="1171">
        <v>99.98</v>
      </c>
      <c r="AD43" s="1171">
        <v>98.14</v>
      </c>
      <c r="AE43" s="1171">
        <v>99.16</v>
      </c>
      <c r="AF43" s="1171">
        <v>97.04</v>
      </c>
      <c r="AG43" s="1171">
        <v>87.49</v>
      </c>
      <c r="AH43" s="1171">
        <v>94.59</v>
      </c>
      <c r="AI43" s="1171">
        <v>98.4</v>
      </c>
      <c r="AJ43" s="1171">
        <v>99.68</v>
      </c>
      <c r="AK43" s="1171">
        <v>94.65</v>
      </c>
      <c r="AL43" s="1171">
        <v>95.5</v>
      </c>
      <c r="AM43" s="1171">
        <v>91.61</v>
      </c>
      <c r="AN43" s="1171">
        <v>99.47</v>
      </c>
      <c r="AO43" s="1171">
        <v>96.2</v>
      </c>
      <c r="AP43" s="1171">
        <v>95.34</v>
      </c>
      <c r="AQ43" s="1171">
        <v>99.64</v>
      </c>
      <c r="AR43" s="1171">
        <v>97.06</v>
      </c>
      <c r="AS43" s="1171">
        <v>98.54</v>
      </c>
      <c r="AT43" s="1171">
        <v>95.77</v>
      </c>
      <c r="AU43" s="1171">
        <v>99.61</v>
      </c>
      <c r="AV43" s="1171">
        <v>98.38</v>
      </c>
      <c r="AW43" s="1171">
        <v>97.6</v>
      </c>
      <c r="AX43" s="1171">
        <v>94.35</v>
      </c>
      <c r="AY43" s="1171">
        <v>98.62</v>
      </c>
      <c r="AZ43" s="1171">
        <v>96.9</v>
      </c>
      <c r="BA43" s="1171">
        <v>97.79</v>
      </c>
      <c r="BB43" s="1171">
        <v>91.14</v>
      </c>
      <c r="BC43" s="1171">
        <v>98.93</v>
      </c>
      <c r="BD43" s="1171">
        <v>0</v>
      </c>
      <c r="BE43" s="1171">
        <v>96.89</v>
      </c>
      <c r="BF43" s="1171">
        <v>94.48</v>
      </c>
      <c r="BG43" s="1171">
        <v>0</v>
      </c>
      <c r="BH43" s="1171">
        <v>92.02</v>
      </c>
      <c r="BI43" s="1171">
        <v>99.11</v>
      </c>
      <c r="BJ43" s="1171">
        <v>97.38</v>
      </c>
      <c r="BK43" s="1171">
        <v>88.61</v>
      </c>
      <c r="BL43" s="1171">
        <v>99.76</v>
      </c>
      <c r="BM43" s="1171">
        <v>98.74</v>
      </c>
      <c r="BN43" s="1171">
        <v>0</v>
      </c>
      <c r="BO43" s="1171">
        <v>98.94</v>
      </c>
      <c r="BP43" s="1171">
        <v>97.04</v>
      </c>
      <c r="BQ43" s="1171">
        <v>97.05</v>
      </c>
      <c r="BR43" s="1171">
        <v>98.64</v>
      </c>
      <c r="BS43" s="1171">
        <v>99.6</v>
      </c>
      <c r="BT43" s="1171">
        <v>99.14</v>
      </c>
      <c r="BU43" s="1171">
        <v>85.91</v>
      </c>
      <c r="BV43" s="1171">
        <v>99.23</v>
      </c>
      <c r="BW43" s="1171">
        <v>94.91</v>
      </c>
      <c r="BX43" s="1171">
        <v>99.42</v>
      </c>
      <c r="BY43" s="1171">
        <v>95.49</v>
      </c>
      <c r="BZ43" s="1171">
        <v>97.83</v>
      </c>
      <c r="CA43" s="1171">
        <v>99.66</v>
      </c>
      <c r="CB43" s="1171">
        <v>90.87</v>
      </c>
    </row>
    <row r="44" spans="1:80" s="1156" customFormat="1" x14ac:dyDescent="0.3">
      <c r="A44" s="1168">
        <v>80</v>
      </c>
      <c r="B44" s="1162">
        <v>80</v>
      </c>
      <c r="C44" s="1163" t="s">
        <v>218</v>
      </c>
      <c r="D44" s="1154" t="s">
        <v>348</v>
      </c>
      <c r="E44" s="1164">
        <v>0</v>
      </c>
      <c r="F44" s="1165">
        <v>0</v>
      </c>
      <c r="G44" s="1165">
        <v>0</v>
      </c>
      <c r="H44" s="1165">
        <v>37727514</v>
      </c>
      <c r="I44" s="1165">
        <v>8396607</v>
      </c>
      <c r="J44" s="1165">
        <v>213368</v>
      </c>
      <c r="K44" s="1165">
        <v>5995235</v>
      </c>
      <c r="L44" s="1166">
        <v>611159</v>
      </c>
      <c r="M44" s="1166">
        <v>2659256</v>
      </c>
      <c r="N44" s="1166">
        <v>0</v>
      </c>
      <c r="O44" s="1166">
        <v>1588638</v>
      </c>
      <c r="P44" s="1166">
        <v>920004</v>
      </c>
      <c r="Q44" s="1166">
        <v>0</v>
      </c>
      <c r="R44" s="1166">
        <v>7113487</v>
      </c>
      <c r="S44" s="1166">
        <v>6887141</v>
      </c>
      <c r="T44" s="1166">
        <v>7205291</v>
      </c>
      <c r="U44" s="1166">
        <v>0</v>
      </c>
      <c r="V44" s="1166">
        <v>9459818</v>
      </c>
      <c r="W44" s="1166">
        <v>0</v>
      </c>
      <c r="X44" s="1166">
        <v>0</v>
      </c>
      <c r="Y44" s="1166">
        <v>40635</v>
      </c>
      <c r="Z44" s="1166">
        <v>2556321</v>
      </c>
      <c r="AA44" s="1166">
        <v>1119324</v>
      </c>
      <c r="AB44" s="1166">
        <v>393885</v>
      </c>
      <c r="AC44" s="1166">
        <v>0</v>
      </c>
      <c r="AD44" s="1166">
        <v>57038</v>
      </c>
      <c r="AE44" s="1166">
        <v>1542286</v>
      </c>
      <c r="AF44" s="1166">
        <v>1087014</v>
      </c>
      <c r="AG44" s="1166">
        <v>52632</v>
      </c>
      <c r="AH44" s="1166">
        <v>0</v>
      </c>
      <c r="AI44" s="1166">
        <v>0</v>
      </c>
      <c r="AJ44" s="1166">
        <v>825486</v>
      </c>
      <c r="AK44" s="1166">
        <v>6563864</v>
      </c>
      <c r="AL44" s="1166">
        <v>301569</v>
      </c>
      <c r="AM44" s="1166">
        <v>0</v>
      </c>
      <c r="AN44" s="1166">
        <v>19004822</v>
      </c>
      <c r="AO44" s="1166">
        <v>9218620</v>
      </c>
      <c r="AP44" s="1166">
        <v>10650</v>
      </c>
      <c r="AQ44" s="1166">
        <v>0</v>
      </c>
      <c r="AR44" s="1166">
        <v>4754546</v>
      </c>
      <c r="AS44" s="1166">
        <v>1159459</v>
      </c>
      <c r="AT44" s="1166">
        <v>226559</v>
      </c>
      <c r="AU44" s="1166">
        <v>1378755</v>
      </c>
      <c r="AV44" s="1166">
        <v>7905864</v>
      </c>
      <c r="AW44" s="1166">
        <v>1102695</v>
      </c>
      <c r="AX44" s="1166">
        <v>705565</v>
      </c>
      <c r="AY44" s="1166">
        <v>956683</v>
      </c>
      <c r="AZ44" s="1166">
        <v>797331</v>
      </c>
      <c r="BA44" s="1166">
        <v>1406768</v>
      </c>
      <c r="BB44" s="1166">
        <v>1587</v>
      </c>
      <c r="BC44" s="1166">
        <v>592119</v>
      </c>
      <c r="BD44" s="1166">
        <v>0</v>
      </c>
      <c r="BE44" s="1166">
        <v>0</v>
      </c>
      <c r="BF44" s="1166">
        <v>1143952</v>
      </c>
      <c r="BG44" s="1166">
        <v>0</v>
      </c>
      <c r="BH44" s="1166">
        <v>0</v>
      </c>
      <c r="BI44" s="1166">
        <v>629957</v>
      </c>
      <c r="BJ44" s="1166">
        <v>1950576</v>
      </c>
      <c r="BK44" s="1166">
        <v>0</v>
      </c>
      <c r="BL44" s="1166">
        <v>4667608</v>
      </c>
      <c r="BM44" s="1166">
        <v>2736585</v>
      </c>
      <c r="BN44" s="1166">
        <v>0</v>
      </c>
      <c r="BO44" s="1166">
        <v>1676370</v>
      </c>
      <c r="BP44" s="1166">
        <v>3215759</v>
      </c>
      <c r="BQ44" s="1166">
        <v>997878</v>
      </c>
      <c r="BR44" s="1166">
        <v>1748084</v>
      </c>
      <c r="BS44" s="1166">
        <v>0</v>
      </c>
      <c r="BT44" s="1166">
        <v>0</v>
      </c>
      <c r="BU44" s="1166">
        <v>1039245</v>
      </c>
      <c r="BV44" s="1166">
        <v>1684666</v>
      </c>
      <c r="BW44" s="1166">
        <v>170669</v>
      </c>
      <c r="BX44" s="1166">
        <v>1208339</v>
      </c>
      <c r="BY44" s="1166">
        <v>0</v>
      </c>
      <c r="BZ44" s="1166">
        <v>0</v>
      </c>
      <c r="CA44" s="1166">
        <v>7586901</v>
      </c>
      <c r="CB44" s="1166">
        <v>0</v>
      </c>
    </row>
    <row r="45" spans="1:80" s="1156" customFormat="1" x14ac:dyDescent="0.3">
      <c r="A45" s="1168">
        <v>81</v>
      </c>
      <c r="B45" s="1162">
        <v>81</v>
      </c>
      <c r="C45" s="1163" t="s">
        <v>219</v>
      </c>
      <c r="D45" s="1154" t="s">
        <v>349</v>
      </c>
      <c r="E45" s="1164">
        <v>0</v>
      </c>
      <c r="F45" s="1165">
        <v>0</v>
      </c>
      <c r="G45" s="1165">
        <v>0</v>
      </c>
      <c r="H45" s="1165">
        <v>2756884</v>
      </c>
      <c r="I45" s="1165">
        <v>270676</v>
      </c>
      <c r="J45" s="1165">
        <v>19641</v>
      </c>
      <c r="K45" s="1165">
        <v>75960</v>
      </c>
      <c r="L45" s="1166">
        <v>185227</v>
      </c>
      <c r="M45" s="1166">
        <v>3571972</v>
      </c>
      <c r="N45" s="1166">
        <v>0</v>
      </c>
      <c r="O45" s="1166">
        <v>152670</v>
      </c>
      <c r="P45" s="1166">
        <v>120317</v>
      </c>
      <c r="Q45" s="1166">
        <v>0</v>
      </c>
      <c r="R45" s="1166">
        <v>1185479</v>
      </c>
      <c r="S45" s="1166">
        <v>1210810</v>
      </c>
      <c r="T45" s="1166">
        <v>613192</v>
      </c>
      <c r="U45" s="1166">
        <v>0</v>
      </c>
      <c r="V45" s="1166">
        <v>2052646</v>
      </c>
      <c r="W45" s="1166">
        <v>0</v>
      </c>
      <c r="X45" s="1166">
        <v>0</v>
      </c>
      <c r="Y45" s="1166">
        <v>0</v>
      </c>
      <c r="Z45" s="1166">
        <v>347941</v>
      </c>
      <c r="AA45" s="1166">
        <v>77306</v>
      </c>
      <c r="AB45" s="1166">
        <v>212598</v>
      </c>
      <c r="AC45" s="1166">
        <v>0</v>
      </c>
      <c r="AD45" s="1166">
        <v>10661</v>
      </c>
      <c r="AE45" s="1166">
        <v>93299</v>
      </c>
      <c r="AF45" s="1166">
        <v>360337</v>
      </c>
      <c r="AG45" s="1166">
        <v>12734</v>
      </c>
      <c r="AH45" s="1166">
        <v>0</v>
      </c>
      <c r="AI45" s="1166">
        <v>0</v>
      </c>
      <c r="AJ45" s="1166">
        <v>84159</v>
      </c>
      <c r="AK45" s="1166">
        <v>806481</v>
      </c>
      <c r="AL45" s="1166">
        <v>26623</v>
      </c>
      <c r="AM45" s="1166">
        <v>0</v>
      </c>
      <c r="AN45" s="1166">
        <v>631804</v>
      </c>
      <c r="AO45" s="1166">
        <v>401118</v>
      </c>
      <c r="AP45" s="1166">
        <v>35258</v>
      </c>
      <c r="AQ45" s="1166">
        <v>0</v>
      </c>
      <c r="AR45" s="1166">
        <v>1439557</v>
      </c>
      <c r="AS45" s="1166">
        <v>249240</v>
      </c>
      <c r="AT45" s="1166">
        <v>52879</v>
      </c>
      <c r="AU45" s="1166">
        <v>278969</v>
      </c>
      <c r="AV45" s="1166">
        <v>696240</v>
      </c>
      <c r="AW45" s="1166">
        <v>32583</v>
      </c>
      <c r="AX45" s="1166">
        <v>30824</v>
      </c>
      <c r="AY45" s="1166">
        <v>131699</v>
      </c>
      <c r="AZ45" s="1166">
        <v>175652</v>
      </c>
      <c r="BA45" s="1166">
        <v>316734</v>
      </c>
      <c r="BB45" s="1166">
        <v>0</v>
      </c>
      <c r="BC45" s="1166">
        <v>116859</v>
      </c>
      <c r="BD45" s="1166">
        <v>0</v>
      </c>
      <c r="BE45" s="1166">
        <v>0</v>
      </c>
      <c r="BF45" s="1166">
        <v>4039003</v>
      </c>
      <c r="BG45" s="1166">
        <v>0</v>
      </c>
      <c r="BH45" s="1166">
        <v>0</v>
      </c>
      <c r="BI45" s="1166">
        <v>140069</v>
      </c>
      <c r="BJ45" s="1166">
        <v>132347</v>
      </c>
      <c r="BK45" s="1166">
        <v>45299</v>
      </c>
      <c r="BL45" s="1166">
        <v>165764</v>
      </c>
      <c r="BM45" s="1166">
        <v>302224</v>
      </c>
      <c r="BN45" s="1166">
        <v>0</v>
      </c>
      <c r="BO45" s="1166">
        <v>524605</v>
      </c>
      <c r="BP45" s="1166">
        <v>94384</v>
      </c>
      <c r="BQ45" s="1166">
        <v>76731</v>
      </c>
      <c r="BR45" s="1166">
        <v>69150</v>
      </c>
      <c r="BS45" s="1166">
        <v>0</v>
      </c>
      <c r="BT45" s="1166">
        <v>0</v>
      </c>
      <c r="BU45" s="1166">
        <v>157592</v>
      </c>
      <c r="BV45" s="1166">
        <v>235820</v>
      </c>
      <c r="BW45" s="1166">
        <v>89631</v>
      </c>
      <c r="BX45" s="1166">
        <v>74242</v>
      </c>
      <c r="BY45" s="1166">
        <v>0</v>
      </c>
      <c r="BZ45" s="1166">
        <v>0</v>
      </c>
      <c r="CA45" s="1166">
        <v>832878</v>
      </c>
      <c r="CB45" s="1166">
        <v>0</v>
      </c>
    </row>
    <row r="46" spans="1:80" s="1156" customFormat="1" x14ac:dyDescent="0.3">
      <c r="A46" s="1168">
        <v>82</v>
      </c>
      <c r="B46" s="1162">
        <v>82</v>
      </c>
      <c r="C46" s="1163" t="s">
        <v>554</v>
      </c>
      <c r="D46" s="1154" t="s">
        <v>350</v>
      </c>
      <c r="E46" s="1164">
        <v>0</v>
      </c>
      <c r="F46" s="1165">
        <v>0</v>
      </c>
      <c r="G46" s="1165">
        <v>0</v>
      </c>
      <c r="H46" s="1165">
        <v>60494127</v>
      </c>
      <c r="I46" s="1165">
        <v>1490435</v>
      </c>
      <c r="J46" s="1165">
        <v>0</v>
      </c>
      <c r="K46" s="1165">
        <v>0</v>
      </c>
      <c r="L46" s="1166">
        <v>2378000</v>
      </c>
      <c r="M46" s="1166">
        <v>45280957</v>
      </c>
      <c r="N46" s="1166">
        <v>0</v>
      </c>
      <c r="O46" s="1166">
        <v>7765</v>
      </c>
      <c r="P46" s="1166">
        <v>21714</v>
      </c>
      <c r="Q46" s="1166">
        <v>0</v>
      </c>
      <c r="R46" s="1166">
        <v>28131</v>
      </c>
      <c r="S46" s="1166">
        <v>11135690</v>
      </c>
      <c r="T46" s="1166">
        <v>23485295</v>
      </c>
      <c r="U46" s="1166">
        <v>0</v>
      </c>
      <c r="V46" s="1166">
        <v>13164516</v>
      </c>
      <c r="W46" s="1166">
        <v>0</v>
      </c>
      <c r="X46" s="1166">
        <v>0</v>
      </c>
      <c r="Y46" s="1166">
        <v>291053</v>
      </c>
      <c r="Z46" s="1166">
        <v>2513085</v>
      </c>
      <c r="AA46" s="1166">
        <v>521360</v>
      </c>
      <c r="AB46" s="1166">
        <v>1039612</v>
      </c>
      <c r="AC46" s="1166">
        <v>0</v>
      </c>
      <c r="AD46" s="1166">
        <v>14392</v>
      </c>
      <c r="AE46" s="1166">
        <v>1166336</v>
      </c>
      <c r="AF46" s="1166">
        <v>4942360</v>
      </c>
      <c r="AG46" s="1166">
        <v>0</v>
      </c>
      <c r="AH46" s="1166">
        <v>0</v>
      </c>
      <c r="AI46" s="1166">
        <v>0</v>
      </c>
      <c r="AJ46" s="1166">
        <v>0</v>
      </c>
      <c r="AK46" s="1166">
        <v>4411389</v>
      </c>
      <c r="AL46" s="1166">
        <v>0</v>
      </c>
      <c r="AM46" s="1166">
        <v>0</v>
      </c>
      <c r="AN46" s="1166">
        <v>25720890</v>
      </c>
      <c r="AO46" s="1166">
        <v>20527807</v>
      </c>
      <c r="AP46" s="1166">
        <v>862000</v>
      </c>
      <c r="AQ46" s="1166">
        <v>0</v>
      </c>
      <c r="AR46" s="1166">
        <v>240218</v>
      </c>
      <c r="AS46" s="1166">
        <v>54578</v>
      </c>
      <c r="AT46" s="1166">
        <v>242000</v>
      </c>
      <c r="AU46" s="1166">
        <v>0</v>
      </c>
      <c r="AV46" s="1166">
        <v>5892113</v>
      </c>
      <c r="AW46" s="1166">
        <v>163222</v>
      </c>
      <c r="AX46" s="1166">
        <v>214253</v>
      </c>
      <c r="AY46" s="1166">
        <v>0</v>
      </c>
      <c r="AZ46" s="1166">
        <v>154605</v>
      </c>
      <c r="BA46" s="1166">
        <v>3299636</v>
      </c>
      <c r="BB46" s="1166">
        <v>0</v>
      </c>
      <c r="BC46" s="1166">
        <v>468388</v>
      </c>
      <c r="BD46" s="1166">
        <v>0</v>
      </c>
      <c r="BE46" s="1166">
        <v>0</v>
      </c>
      <c r="BF46" s="1166">
        <v>5967399</v>
      </c>
      <c r="BG46" s="1166">
        <v>0</v>
      </c>
      <c r="BH46" s="1166">
        <v>0</v>
      </c>
      <c r="BI46" s="1166">
        <v>1220284</v>
      </c>
      <c r="BJ46" s="1166">
        <v>1303686</v>
      </c>
      <c r="BK46" s="1166">
        <v>15979</v>
      </c>
      <c r="BL46" s="1166">
        <v>539709</v>
      </c>
      <c r="BM46" s="1166">
        <v>293312</v>
      </c>
      <c r="BN46" s="1166">
        <v>0</v>
      </c>
      <c r="BO46" s="1166">
        <v>1287514</v>
      </c>
      <c r="BP46" s="1166">
        <v>697926</v>
      </c>
      <c r="BQ46" s="1166">
        <v>667714</v>
      </c>
      <c r="BR46" s="1166">
        <v>1061306</v>
      </c>
      <c r="BS46" s="1166">
        <v>0</v>
      </c>
      <c r="BT46" s="1166">
        <v>0</v>
      </c>
      <c r="BU46" s="1166">
        <v>265584</v>
      </c>
      <c r="BV46" s="1166">
        <v>1419627</v>
      </c>
      <c r="BW46" s="1166">
        <v>664583</v>
      </c>
      <c r="BX46" s="1166">
        <v>0</v>
      </c>
      <c r="BY46" s="1166">
        <v>0</v>
      </c>
      <c r="BZ46" s="1166">
        <v>0</v>
      </c>
      <c r="CA46" s="1166">
        <v>7484033</v>
      </c>
      <c r="CB46" s="1166">
        <v>0</v>
      </c>
    </row>
    <row r="47" spans="1:80" s="1156" customFormat="1" x14ac:dyDescent="0.3">
      <c r="A47" s="1168">
        <v>83</v>
      </c>
      <c r="B47" s="1162">
        <v>83</v>
      </c>
      <c r="C47" s="1163" t="s">
        <v>102</v>
      </c>
      <c r="D47" s="1154" t="s">
        <v>351</v>
      </c>
      <c r="E47" s="1164">
        <v>0</v>
      </c>
      <c r="F47" s="1165">
        <v>0</v>
      </c>
      <c r="G47" s="1165">
        <v>0</v>
      </c>
      <c r="H47" s="1165">
        <v>70305294</v>
      </c>
      <c r="I47" s="1165">
        <v>23551850</v>
      </c>
      <c r="J47" s="1165">
        <v>291169</v>
      </c>
      <c r="K47" s="1165">
        <v>11231622</v>
      </c>
      <c r="L47" s="1166">
        <v>3910138</v>
      </c>
      <c r="M47" s="1166">
        <v>73179538</v>
      </c>
      <c r="N47" s="1166">
        <v>0</v>
      </c>
      <c r="O47" s="1166">
        <v>3189985</v>
      </c>
      <c r="P47" s="1166">
        <v>5145752</v>
      </c>
      <c r="Q47" s="1166">
        <v>0</v>
      </c>
      <c r="R47" s="1166">
        <v>21933216</v>
      </c>
      <c r="S47" s="1166">
        <v>23996895</v>
      </c>
      <c r="T47" s="1166">
        <v>35812528</v>
      </c>
      <c r="U47" s="1166">
        <v>0</v>
      </c>
      <c r="V47" s="1166">
        <v>74586885</v>
      </c>
      <c r="W47" s="1166">
        <v>0</v>
      </c>
      <c r="X47" s="1166">
        <v>0</v>
      </c>
      <c r="Y47" s="1166">
        <v>38317</v>
      </c>
      <c r="Z47" s="1166">
        <v>7326045</v>
      </c>
      <c r="AA47" s="1166">
        <v>8253293</v>
      </c>
      <c r="AB47" s="1166">
        <v>5815901</v>
      </c>
      <c r="AC47" s="1166">
        <v>0</v>
      </c>
      <c r="AD47" s="1166">
        <v>143576</v>
      </c>
      <c r="AE47" s="1166">
        <v>8426174</v>
      </c>
      <c r="AF47" s="1166">
        <v>7289640</v>
      </c>
      <c r="AG47" s="1166">
        <v>687575</v>
      </c>
      <c r="AH47" s="1166">
        <v>0</v>
      </c>
      <c r="AI47" s="1166">
        <v>0</v>
      </c>
      <c r="AJ47" s="1166">
        <v>2483904</v>
      </c>
      <c r="AK47" s="1166">
        <v>36580517</v>
      </c>
      <c r="AL47" s="1166">
        <v>1825698</v>
      </c>
      <c r="AM47" s="1166">
        <v>0</v>
      </c>
      <c r="AN47" s="1166">
        <v>52313736</v>
      </c>
      <c r="AO47" s="1166">
        <v>56566357</v>
      </c>
      <c r="AP47" s="1166">
        <v>1070107</v>
      </c>
      <c r="AQ47" s="1166">
        <v>0</v>
      </c>
      <c r="AR47" s="1166">
        <v>44341672</v>
      </c>
      <c r="AS47" s="1166">
        <v>5546576</v>
      </c>
      <c r="AT47" s="1166">
        <v>4290596</v>
      </c>
      <c r="AU47" s="1166">
        <v>5451529</v>
      </c>
      <c r="AV47" s="1166">
        <v>27689774</v>
      </c>
      <c r="AW47" s="1166">
        <v>1600622</v>
      </c>
      <c r="AX47" s="1166">
        <v>5092569</v>
      </c>
      <c r="AY47" s="1166">
        <v>10907173</v>
      </c>
      <c r="AZ47" s="1166">
        <v>8947817</v>
      </c>
      <c r="BA47" s="1166">
        <v>12792798</v>
      </c>
      <c r="BB47" s="1166">
        <v>-14536</v>
      </c>
      <c r="BC47" s="1166">
        <v>2904077</v>
      </c>
      <c r="BD47" s="1166">
        <v>0</v>
      </c>
      <c r="BE47" s="1166">
        <v>0</v>
      </c>
      <c r="BF47" s="1166">
        <v>47035619</v>
      </c>
      <c r="BG47" s="1166">
        <v>0</v>
      </c>
      <c r="BH47" s="1166">
        <v>0</v>
      </c>
      <c r="BI47" s="1166">
        <v>5575542</v>
      </c>
      <c r="BJ47" s="1166">
        <v>6156770</v>
      </c>
      <c r="BK47" s="1166">
        <v>5814403</v>
      </c>
      <c r="BL47" s="1166">
        <v>12787813</v>
      </c>
      <c r="BM47" s="1166">
        <v>7046574</v>
      </c>
      <c r="BN47" s="1166">
        <v>0</v>
      </c>
      <c r="BO47" s="1166">
        <v>19371468</v>
      </c>
      <c r="BP47" s="1166">
        <v>11690997</v>
      </c>
      <c r="BQ47" s="1166">
        <v>8169833</v>
      </c>
      <c r="BR47" s="1166">
        <v>5212569</v>
      </c>
      <c r="BS47" s="1166">
        <v>0</v>
      </c>
      <c r="BT47" s="1166">
        <v>0</v>
      </c>
      <c r="BU47" s="1166">
        <v>6593091</v>
      </c>
      <c r="BV47" s="1166">
        <v>12505423</v>
      </c>
      <c r="BW47" s="1166">
        <v>4851336</v>
      </c>
      <c r="BX47" s="1166">
        <v>2608958</v>
      </c>
      <c r="BY47" s="1166">
        <v>0</v>
      </c>
      <c r="BZ47" s="1166">
        <v>0</v>
      </c>
      <c r="CA47" s="1166">
        <v>53045884</v>
      </c>
      <c r="CB47" s="1166">
        <v>0</v>
      </c>
    </row>
    <row r="48" spans="1:80" s="1156" customFormat="1" x14ac:dyDescent="0.3">
      <c r="A48" s="1168">
        <v>84</v>
      </c>
      <c r="B48" s="1162">
        <v>84</v>
      </c>
      <c r="C48" s="1163" t="s">
        <v>227</v>
      </c>
      <c r="D48" s="1154" t="s">
        <v>352</v>
      </c>
      <c r="E48" s="1164">
        <v>0</v>
      </c>
      <c r="F48" s="1165">
        <v>0</v>
      </c>
      <c r="G48" s="1165">
        <v>0</v>
      </c>
      <c r="H48" s="1165">
        <v>24167324</v>
      </c>
      <c r="I48" s="1165">
        <v>4089589</v>
      </c>
      <c r="J48" s="1165">
        <v>195626</v>
      </c>
      <c r="K48" s="1165">
        <v>877993</v>
      </c>
      <c r="L48" s="1166">
        <v>921745</v>
      </c>
      <c r="M48" s="1166">
        <v>19248710</v>
      </c>
      <c r="N48" s="1166">
        <v>0</v>
      </c>
      <c r="O48" s="1166">
        <v>709567</v>
      </c>
      <c r="P48" s="1166">
        <v>1302768</v>
      </c>
      <c r="Q48" s="1166">
        <v>0</v>
      </c>
      <c r="R48" s="1166">
        <v>4903060</v>
      </c>
      <c r="S48" s="1166">
        <v>6263381</v>
      </c>
      <c r="T48" s="1166">
        <v>7529802</v>
      </c>
      <c r="U48" s="1166">
        <v>0</v>
      </c>
      <c r="V48" s="1166">
        <v>17371953</v>
      </c>
      <c r="W48" s="1166">
        <v>0</v>
      </c>
      <c r="X48" s="1166">
        <v>0</v>
      </c>
      <c r="Y48" s="1166">
        <v>0</v>
      </c>
      <c r="Z48" s="1166">
        <v>2206257</v>
      </c>
      <c r="AA48" s="1166">
        <v>1227878</v>
      </c>
      <c r="AB48" s="1166">
        <v>1223833</v>
      </c>
      <c r="AC48" s="1166">
        <v>0</v>
      </c>
      <c r="AD48" s="1166">
        <v>108952</v>
      </c>
      <c r="AE48" s="1166">
        <v>808574</v>
      </c>
      <c r="AF48" s="1166">
        <v>2398012</v>
      </c>
      <c r="AG48" s="1166">
        <v>46013</v>
      </c>
      <c r="AH48" s="1166">
        <v>0</v>
      </c>
      <c r="AI48" s="1166">
        <v>0</v>
      </c>
      <c r="AJ48" s="1166">
        <v>460416</v>
      </c>
      <c r="AK48" s="1166">
        <v>7974010</v>
      </c>
      <c r="AL48" s="1166">
        <v>117410</v>
      </c>
      <c r="AM48" s="1166">
        <v>0</v>
      </c>
      <c r="AN48" s="1166">
        <v>7853471</v>
      </c>
      <c r="AO48" s="1166">
        <v>9525869</v>
      </c>
      <c r="AP48" s="1166">
        <v>142664</v>
      </c>
      <c r="AQ48" s="1166">
        <v>0</v>
      </c>
      <c r="AR48" s="1166">
        <v>10729802</v>
      </c>
      <c r="AS48" s="1166">
        <v>917046</v>
      </c>
      <c r="AT48" s="1166">
        <v>311871</v>
      </c>
      <c r="AU48" s="1166">
        <v>2416960</v>
      </c>
      <c r="AV48" s="1166">
        <v>7598164</v>
      </c>
      <c r="AW48" s="1166">
        <v>417506</v>
      </c>
      <c r="AX48" s="1166">
        <v>348670</v>
      </c>
      <c r="AY48" s="1166">
        <v>1790206</v>
      </c>
      <c r="AZ48" s="1166">
        <v>2036003</v>
      </c>
      <c r="BA48" s="1166">
        <v>2750571</v>
      </c>
      <c r="BB48" s="1166">
        <v>12707</v>
      </c>
      <c r="BC48" s="1166">
        <v>1270373</v>
      </c>
      <c r="BD48" s="1166">
        <v>0</v>
      </c>
      <c r="BE48" s="1166">
        <v>0</v>
      </c>
      <c r="BF48" s="1166">
        <v>10622771</v>
      </c>
      <c r="BG48" s="1166">
        <v>0</v>
      </c>
      <c r="BH48" s="1166">
        <v>0</v>
      </c>
      <c r="BI48" s="1166">
        <v>1440671</v>
      </c>
      <c r="BJ48" s="1166">
        <v>978566</v>
      </c>
      <c r="BK48" s="1166">
        <v>328321</v>
      </c>
      <c r="BL48" s="1166">
        <v>2303743</v>
      </c>
      <c r="BM48" s="1166">
        <v>2002022</v>
      </c>
      <c r="BN48" s="1166">
        <v>0</v>
      </c>
      <c r="BO48" s="1166">
        <v>3681230</v>
      </c>
      <c r="BP48" s="1166">
        <v>1016494</v>
      </c>
      <c r="BQ48" s="1166">
        <v>713253</v>
      </c>
      <c r="BR48" s="1166">
        <v>1340788</v>
      </c>
      <c r="BS48" s="1166">
        <v>0</v>
      </c>
      <c r="BT48" s="1166">
        <v>0</v>
      </c>
      <c r="BU48" s="1166">
        <v>699634</v>
      </c>
      <c r="BV48" s="1166">
        <v>2569029</v>
      </c>
      <c r="BW48" s="1166">
        <v>511016</v>
      </c>
      <c r="BX48" s="1166">
        <v>647727</v>
      </c>
      <c r="BY48" s="1166">
        <v>0</v>
      </c>
      <c r="BZ48" s="1166">
        <v>0</v>
      </c>
      <c r="CA48" s="1166">
        <v>7644617</v>
      </c>
      <c r="CB48" s="1166">
        <v>0</v>
      </c>
    </row>
    <row r="49" spans="1:80" s="1156" customFormat="1" x14ac:dyDescent="0.3">
      <c r="A49" s="1168">
        <v>85</v>
      </c>
      <c r="B49" s="1162">
        <v>85</v>
      </c>
      <c r="C49" s="1163" t="s">
        <v>229</v>
      </c>
      <c r="D49" s="1154" t="s">
        <v>353</v>
      </c>
      <c r="E49" s="1164">
        <v>0</v>
      </c>
      <c r="F49" s="1165">
        <v>0</v>
      </c>
      <c r="G49" s="1165">
        <v>0</v>
      </c>
      <c r="H49" s="1165">
        <v>21144240</v>
      </c>
      <c r="I49" s="1165">
        <v>2830556</v>
      </c>
      <c r="J49" s="1165">
        <v>225330</v>
      </c>
      <c r="K49" s="1165">
        <v>884575</v>
      </c>
      <c r="L49" s="1166">
        <v>833086</v>
      </c>
      <c r="M49" s="1166">
        <v>16480089</v>
      </c>
      <c r="N49" s="1166">
        <v>0</v>
      </c>
      <c r="O49" s="1166">
        <v>684847</v>
      </c>
      <c r="P49" s="1166">
        <v>1450400</v>
      </c>
      <c r="Q49" s="1166">
        <v>0</v>
      </c>
      <c r="R49" s="1166">
        <v>3900433</v>
      </c>
      <c r="S49" s="1166">
        <v>5938688</v>
      </c>
      <c r="T49" s="1166">
        <v>7774750</v>
      </c>
      <c r="U49" s="1166">
        <v>0</v>
      </c>
      <c r="V49" s="1166">
        <v>15878428</v>
      </c>
      <c r="W49" s="1166">
        <v>0</v>
      </c>
      <c r="X49" s="1166">
        <v>0</v>
      </c>
      <c r="Y49" s="1166">
        <v>0</v>
      </c>
      <c r="Z49" s="1166">
        <v>1897956</v>
      </c>
      <c r="AA49" s="1166">
        <v>1172253</v>
      </c>
      <c r="AB49" s="1166">
        <v>1149232</v>
      </c>
      <c r="AC49" s="1166">
        <v>0</v>
      </c>
      <c r="AD49" s="1166">
        <v>104522</v>
      </c>
      <c r="AE49" s="1166">
        <v>909316</v>
      </c>
      <c r="AF49" s="1166">
        <v>2085058</v>
      </c>
      <c r="AG49" s="1166">
        <v>74225</v>
      </c>
      <c r="AH49" s="1166">
        <v>0</v>
      </c>
      <c r="AI49" s="1166">
        <v>0</v>
      </c>
      <c r="AJ49" s="1166">
        <v>490889</v>
      </c>
      <c r="AK49" s="1166">
        <v>6658460</v>
      </c>
      <c r="AL49" s="1166">
        <v>202480</v>
      </c>
      <c r="AM49" s="1166">
        <v>0</v>
      </c>
      <c r="AN49" s="1166">
        <v>4396273</v>
      </c>
      <c r="AO49" s="1166">
        <v>8099604</v>
      </c>
      <c r="AP49" s="1166">
        <v>109467</v>
      </c>
      <c r="AQ49" s="1166">
        <v>0</v>
      </c>
      <c r="AR49" s="1166">
        <v>11224752</v>
      </c>
      <c r="AS49" s="1166">
        <v>1213977</v>
      </c>
      <c r="AT49" s="1166">
        <v>399044</v>
      </c>
      <c r="AU49" s="1166">
        <v>2380042</v>
      </c>
      <c r="AV49" s="1166">
        <v>6522861</v>
      </c>
      <c r="AW49" s="1166">
        <v>347312</v>
      </c>
      <c r="AX49" s="1166">
        <v>588406</v>
      </c>
      <c r="AY49" s="1166">
        <v>1176359</v>
      </c>
      <c r="AZ49" s="1166">
        <v>2073402</v>
      </c>
      <c r="BA49" s="1166">
        <v>2940879</v>
      </c>
      <c r="BB49" s="1166">
        <v>102357</v>
      </c>
      <c r="BC49" s="1166">
        <v>1312988</v>
      </c>
      <c r="BD49" s="1166">
        <v>0</v>
      </c>
      <c r="BE49" s="1166">
        <v>0</v>
      </c>
      <c r="BF49" s="1166">
        <v>10714128</v>
      </c>
      <c r="BG49" s="1166">
        <v>0</v>
      </c>
      <c r="BH49" s="1166">
        <v>0</v>
      </c>
      <c r="BI49" s="1166">
        <v>1384889</v>
      </c>
      <c r="BJ49" s="1166">
        <v>862346</v>
      </c>
      <c r="BK49" s="1166">
        <v>606301</v>
      </c>
      <c r="BL49" s="1166">
        <v>2393470</v>
      </c>
      <c r="BM49" s="1166">
        <v>1810466</v>
      </c>
      <c r="BN49" s="1166">
        <v>0</v>
      </c>
      <c r="BO49" s="1166">
        <v>3957135</v>
      </c>
      <c r="BP49" s="1166">
        <v>947789</v>
      </c>
      <c r="BQ49" s="1166">
        <v>815766</v>
      </c>
      <c r="BR49" s="1166">
        <v>1326355</v>
      </c>
      <c r="BS49" s="1166">
        <v>0</v>
      </c>
      <c r="BT49" s="1166">
        <v>0</v>
      </c>
      <c r="BU49" s="1166">
        <v>965834</v>
      </c>
      <c r="BV49" s="1166">
        <v>2608646</v>
      </c>
      <c r="BW49" s="1166">
        <v>590683</v>
      </c>
      <c r="BX49" s="1166">
        <v>438851</v>
      </c>
      <c r="BY49" s="1166">
        <v>0</v>
      </c>
      <c r="BZ49" s="1166">
        <v>0</v>
      </c>
      <c r="CA49" s="1166">
        <v>7198130</v>
      </c>
      <c r="CB49" s="1166">
        <v>0</v>
      </c>
    </row>
    <row r="50" spans="1:80" s="1156" customFormat="1" x14ac:dyDescent="0.3">
      <c r="A50" s="1168">
        <v>88</v>
      </c>
      <c r="B50" s="1162">
        <v>88</v>
      </c>
      <c r="C50" s="1163" t="s">
        <v>226</v>
      </c>
      <c r="D50" s="1154" t="s">
        <v>354</v>
      </c>
      <c r="E50" s="1164">
        <v>0</v>
      </c>
      <c r="F50" s="1165">
        <v>0</v>
      </c>
      <c r="G50" s="1165">
        <v>0</v>
      </c>
      <c r="H50" s="1165">
        <v>24167324</v>
      </c>
      <c r="I50" s="1165">
        <v>4044142</v>
      </c>
      <c r="J50" s="1165">
        <v>194407</v>
      </c>
      <c r="K50" s="1165">
        <v>817748</v>
      </c>
      <c r="L50" s="1166">
        <v>724815</v>
      </c>
      <c r="M50" s="1166">
        <v>17429170</v>
      </c>
      <c r="N50" s="1166">
        <v>0</v>
      </c>
      <c r="O50" s="1166">
        <v>696794</v>
      </c>
      <c r="P50" s="1166">
        <v>1238294</v>
      </c>
      <c r="Q50" s="1166">
        <v>0</v>
      </c>
      <c r="R50" s="1166">
        <v>4166952</v>
      </c>
      <c r="S50" s="1166">
        <v>6033886</v>
      </c>
      <c r="T50" s="1166">
        <v>7053087</v>
      </c>
      <c r="U50" s="1166">
        <v>0</v>
      </c>
      <c r="V50" s="1166">
        <v>16060071</v>
      </c>
      <c r="W50" s="1166">
        <v>0</v>
      </c>
      <c r="X50" s="1166">
        <v>0</v>
      </c>
      <c r="Y50" s="1166">
        <v>0</v>
      </c>
      <c r="Z50" s="1166">
        <v>2200613</v>
      </c>
      <c r="AA50" s="1166">
        <v>1226463</v>
      </c>
      <c r="AB50" s="1166">
        <v>1194474</v>
      </c>
      <c r="AC50" s="1166">
        <v>0</v>
      </c>
      <c r="AD50" s="1166">
        <v>108952</v>
      </c>
      <c r="AE50" s="1166">
        <v>792869</v>
      </c>
      <c r="AF50" s="1166">
        <v>2166135</v>
      </c>
      <c r="AG50" s="1166">
        <v>45839</v>
      </c>
      <c r="AH50" s="1166">
        <v>0</v>
      </c>
      <c r="AI50" s="1166">
        <v>0</v>
      </c>
      <c r="AJ50" s="1166">
        <v>460416</v>
      </c>
      <c r="AK50" s="1166">
        <v>7454929</v>
      </c>
      <c r="AL50" s="1166">
        <v>117410</v>
      </c>
      <c r="AM50" s="1166">
        <v>0</v>
      </c>
      <c r="AN50" s="1166">
        <v>7823639</v>
      </c>
      <c r="AO50" s="1166">
        <v>9164906</v>
      </c>
      <c r="AP50" s="1166">
        <v>142664</v>
      </c>
      <c r="AQ50" s="1166">
        <v>0</v>
      </c>
      <c r="AR50" s="1166">
        <v>10354690</v>
      </c>
      <c r="AS50" s="1166">
        <v>863111</v>
      </c>
      <c r="AT50" s="1166">
        <v>311871</v>
      </c>
      <c r="AU50" s="1166">
        <v>2380401</v>
      </c>
      <c r="AV50" s="1166">
        <v>7399071</v>
      </c>
      <c r="AW50" s="1166">
        <v>409024</v>
      </c>
      <c r="AX50" s="1166">
        <v>348015</v>
      </c>
      <c r="AY50" s="1166">
        <v>1178267</v>
      </c>
      <c r="AZ50" s="1166">
        <v>2036003</v>
      </c>
      <c r="BA50" s="1166">
        <v>2714477</v>
      </c>
      <c r="BB50" s="1166">
        <v>12707</v>
      </c>
      <c r="BC50" s="1166">
        <v>1213931</v>
      </c>
      <c r="BD50" s="1166">
        <v>0</v>
      </c>
      <c r="BE50" s="1166">
        <v>0</v>
      </c>
      <c r="BF50" s="1166">
        <v>8878089</v>
      </c>
      <c r="BG50" s="1166">
        <v>0</v>
      </c>
      <c r="BH50" s="1166">
        <v>0</v>
      </c>
      <c r="BI50" s="1166">
        <v>1394975</v>
      </c>
      <c r="BJ50" s="1166">
        <v>792392</v>
      </c>
      <c r="BK50" s="1166">
        <v>328321</v>
      </c>
      <c r="BL50" s="1166">
        <v>2303743</v>
      </c>
      <c r="BM50" s="1166">
        <v>1866679</v>
      </c>
      <c r="BN50" s="1166">
        <v>0</v>
      </c>
      <c r="BO50" s="1166">
        <v>3510623</v>
      </c>
      <c r="BP50" s="1166">
        <v>1010585</v>
      </c>
      <c r="BQ50" s="1166">
        <v>694333</v>
      </c>
      <c r="BR50" s="1166">
        <v>1315039</v>
      </c>
      <c r="BS50" s="1166">
        <v>0</v>
      </c>
      <c r="BT50" s="1166">
        <v>0</v>
      </c>
      <c r="BU50" s="1166">
        <v>699634</v>
      </c>
      <c r="BV50" s="1166">
        <v>2308663</v>
      </c>
      <c r="BW50" s="1166">
        <v>507893</v>
      </c>
      <c r="BX50" s="1166">
        <v>644474</v>
      </c>
      <c r="BY50" s="1166">
        <v>0</v>
      </c>
      <c r="BZ50" s="1166">
        <v>0</v>
      </c>
      <c r="CA50" s="1166">
        <v>6119414</v>
      </c>
      <c r="CB50" s="1166">
        <v>0</v>
      </c>
    </row>
    <row r="51" spans="1:80" s="1156" customFormat="1" x14ac:dyDescent="0.3">
      <c r="A51" s="1168">
        <v>89</v>
      </c>
      <c r="B51" s="1162">
        <v>89</v>
      </c>
      <c r="C51" s="1163" t="s">
        <v>230</v>
      </c>
      <c r="D51" s="1154" t="s">
        <v>355</v>
      </c>
      <c r="E51" s="1164">
        <v>0</v>
      </c>
      <c r="F51" s="1165">
        <v>0</v>
      </c>
      <c r="G51" s="1165">
        <v>0</v>
      </c>
      <c r="H51" s="1165">
        <v>1760384</v>
      </c>
      <c r="I51" s="1165">
        <v>37051</v>
      </c>
      <c r="J51" s="1165">
        <v>0</v>
      </c>
      <c r="K51" s="1165">
        <v>0</v>
      </c>
      <c r="L51" s="1166">
        <v>68368</v>
      </c>
      <c r="M51" s="1166">
        <v>1779838</v>
      </c>
      <c r="N51" s="1166">
        <v>0</v>
      </c>
      <c r="O51" s="1166">
        <v>386</v>
      </c>
      <c r="P51" s="1166">
        <v>1409</v>
      </c>
      <c r="Q51" s="1166">
        <v>0</v>
      </c>
      <c r="R51" s="1166">
        <v>0</v>
      </c>
      <c r="S51" s="1166">
        <v>40777</v>
      </c>
      <c r="T51" s="1166">
        <v>6829</v>
      </c>
      <c r="U51" s="1166">
        <v>0</v>
      </c>
      <c r="V51" s="1166">
        <v>131015</v>
      </c>
      <c r="W51" s="1166">
        <v>0</v>
      </c>
      <c r="X51" s="1166">
        <v>0</v>
      </c>
      <c r="Y51" s="1166">
        <v>0</v>
      </c>
      <c r="Z51" s="1166">
        <v>51692</v>
      </c>
      <c r="AA51" s="1166">
        <v>13760</v>
      </c>
      <c r="AB51" s="1166">
        <v>9028</v>
      </c>
      <c r="AC51" s="1166">
        <v>0</v>
      </c>
      <c r="AD51" s="1166">
        <v>0</v>
      </c>
      <c r="AE51" s="1166">
        <v>18300</v>
      </c>
      <c r="AF51" s="1166">
        <v>165988</v>
      </c>
      <c r="AG51" s="1166">
        <v>0</v>
      </c>
      <c r="AH51" s="1166">
        <v>0</v>
      </c>
      <c r="AI51" s="1166">
        <v>0</v>
      </c>
      <c r="AJ51" s="1166">
        <v>0</v>
      </c>
      <c r="AK51" s="1166">
        <v>113549</v>
      </c>
      <c r="AL51" s="1166">
        <v>0</v>
      </c>
      <c r="AM51" s="1166">
        <v>0</v>
      </c>
      <c r="AN51" s="1166">
        <v>579179</v>
      </c>
      <c r="AO51" s="1166">
        <v>201318</v>
      </c>
      <c r="AP51" s="1166">
        <v>16526</v>
      </c>
      <c r="AQ51" s="1166">
        <v>0</v>
      </c>
      <c r="AR51" s="1166">
        <v>16042</v>
      </c>
      <c r="AS51" s="1166">
        <v>0</v>
      </c>
      <c r="AT51" s="1166">
        <v>6765</v>
      </c>
      <c r="AU51" s="1166">
        <v>0</v>
      </c>
      <c r="AV51" s="1166">
        <v>148028</v>
      </c>
      <c r="AW51" s="1166">
        <v>3060</v>
      </c>
      <c r="AX51" s="1166">
        <v>9939</v>
      </c>
      <c r="AY51" s="1166">
        <v>4652</v>
      </c>
      <c r="AZ51" s="1166">
        <v>4124</v>
      </c>
      <c r="BA51" s="1166">
        <v>102194</v>
      </c>
      <c r="BB51" s="1166">
        <v>0</v>
      </c>
      <c r="BC51" s="1166">
        <v>787</v>
      </c>
      <c r="BD51" s="1166">
        <v>0</v>
      </c>
      <c r="BE51" s="1166">
        <v>0</v>
      </c>
      <c r="BF51" s="1166">
        <v>36713</v>
      </c>
      <c r="BG51" s="1166">
        <v>0</v>
      </c>
      <c r="BH51" s="1166">
        <v>0</v>
      </c>
      <c r="BI51" s="1166">
        <v>50191</v>
      </c>
      <c r="BJ51" s="1166">
        <v>30800</v>
      </c>
      <c r="BK51" s="1166">
        <v>1653</v>
      </c>
      <c r="BL51" s="1166">
        <v>0</v>
      </c>
      <c r="BM51" s="1166">
        <v>7474</v>
      </c>
      <c r="BN51" s="1166">
        <v>0</v>
      </c>
      <c r="BO51" s="1166">
        <v>18358</v>
      </c>
      <c r="BP51" s="1166">
        <v>23427</v>
      </c>
      <c r="BQ51" s="1166">
        <v>24607</v>
      </c>
      <c r="BR51" s="1166">
        <v>0</v>
      </c>
      <c r="BS51" s="1166">
        <v>0</v>
      </c>
      <c r="BT51" s="1166">
        <v>0</v>
      </c>
      <c r="BU51" s="1166">
        <v>9443</v>
      </c>
      <c r="BV51" s="1166">
        <v>47228</v>
      </c>
      <c r="BW51" s="1166">
        <v>0</v>
      </c>
      <c r="BX51" s="1166">
        <v>0</v>
      </c>
      <c r="BY51" s="1166">
        <v>0</v>
      </c>
      <c r="BZ51" s="1166">
        <v>0</v>
      </c>
      <c r="CA51" s="1166">
        <v>100206</v>
      </c>
      <c r="CB51" s="1166">
        <v>0</v>
      </c>
    </row>
    <row r="52" spans="1:80" s="1156" customFormat="1" x14ac:dyDescent="0.3">
      <c r="A52" s="1161">
        <v>90</v>
      </c>
      <c r="B52" s="1162">
        <v>90</v>
      </c>
      <c r="C52" s="1163" t="s">
        <v>223</v>
      </c>
      <c r="D52" s="1154" t="s">
        <v>356</v>
      </c>
      <c r="E52" s="1164">
        <v>0</v>
      </c>
      <c r="F52" s="1165">
        <v>0</v>
      </c>
      <c r="G52" s="1165">
        <v>0</v>
      </c>
      <c r="H52" s="1165">
        <v>0</v>
      </c>
      <c r="I52" s="1165">
        <v>0</v>
      </c>
      <c r="J52" s="1165">
        <v>0</v>
      </c>
      <c r="K52" s="1165">
        <v>0</v>
      </c>
      <c r="L52" s="1166">
        <v>0</v>
      </c>
      <c r="M52" s="1166">
        <v>0</v>
      </c>
      <c r="N52" s="1166">
        <v>0</v>
      </c>
      <c r="O52" s="1166">
        <v>0</v>
      </c>
      <c r="P52" s="1166">
        <v>0</v>
      </c>
      <c r="Q52" s="1166">
        <v>0</v>
      </c>
      <c r="R52" s="1166">
        <v>0</v>
      </c>
      <c r="S52" s="1166">
        <v>0</v>
      </c>
      <c r="T52" s="1166">
        <v>6089974</v>
      </c>
      <c r="U52" s="1166">
        <v>0</v>
      </c>
      <c r="V52" s="1166">
        <v>24521956</v>
      </c>
      <c r="W52" s="1166">
        <v>0</v>
      </c>
      <c r="X52" s="1166">
        <v>0</v>
      </c>
      <c r="Y52" s="1166">
        <v>0</v>
      </c>
      <c r="Z52" s="1166">
        <v>0</v>
      </c>
      <c r="AA52" s="1166">
        <v>743248</v>
      </c>
      <c r="AB52" s="1166">
        <v>0</v>
      </c>
      <c r="AC52" s="1166">
        <v>0</v>
      </c>
      <c r="AD52" s="1166">
        <v>0</v>
      </c>
      <c r="AE52" s="1166">
        <v>0</v>
      </c>
      <c r="AF52" s="1166">
        <v>504815</v>
      </c>
      <c r="AG52" s="1166">
        <v>0</v>
      </c>
      <c r="AH52" s="1166">
        <v>0</v>
      </c>
      <c r="AI52" s="1166">
        <v>0</v>
      </c>
      <c r="AJ52" s="1166">
        <v>0</v>
      </c>
      <c r="AK52" s="1166">
        <v>992144</v>
      </c>
      <c r="AL52" s="1166">
        <v>0</v>
      </c>
      <c r="AM52" s="1166">
        <v>0</v>
      </c>
      <c r="AN52" s="1166">
        <v>0</v>
      </c>
      <c r="AO52" s="1166">
        <v>0</v>
      </c>
      <c r="AP52" s="1166">
        <v>0</v>
      </c>
      <c r="AQ52" s="1166">
        <v>0</v>
      </c>
      <c r="AR52" s="1166">
        <v>13333819</v>
      </c>
      <c r="AS52" s="1166">
        <v>0</v>
      </c>
      <c r="AT52" s="1166">
        <v>0</v>
      </c>
      <c r="AU52" s="1166">
        <v>0</v>
      </c>
      <c r="AV52" s="1166">
        <v>2853785</v>
      </c>
      <c r="AW52" s="1166">
        <v>0</v>
      </c>
      <c r="AX52" s="1166">
        <v>0</v>
      </c>
      <c r="AY52" s="1166">
        <v>0</v>
      </c>
      <c r="AZ52" s="1166">
        <v>0</v>
      </c>
      <c r="BA52" s="1166">
        <v>1510387</v>
      </c>
      <c r="BB52" s="1166">
        <v>0</v>
      </c>
      <c r="BC52" s="1166">
        <v>0</v>
      </c>
      <c r="BD52" s="1166">
        <v>0</v>
      </c>
      <c r="BE52" s="1166">
        <v>0</v>
      </c>
      <c r="BF52" s="1166">
        <v>5346067</v>
      </c>
      <c r="BG52" s="1166">
        <v>0</v>
      </c>
      <c r="BH52" s="1166">
        <v>0</v>
      </c>
      <c r="BI52" s="1166">
        <v>0</v>
      </c>
      <c r="BJ52" s="1166">
        <v>0</v>
      </c>
      <c r="BK52" s="1166">
        <v>0</v>
      </c>
      <c r="BL52" s="1166">
        <v>2555802</v>
      </c>
      <c r="BM52" s="1166">
        <v>0</v>
      </c>
      <c r="BN52" s="1166">
        <v>0</v>
      </c>
      <c r="BO52" s="1166">
        <v>0</v>
      </c>
      <c r="BP52" s="1166">
        <v>0</v>
      </c>
      <c r="BQ52" s="1166">
        <v>0</v>
      </c>
      <c r="BR52" s="1166">
        <v>0</v>
      </c>
      <c r="BS52" s="1166">
        <v>0</v>
      </c>
      <c r="BT52" s="1166">
        <v>0</v>
      </c>
      <c r="BU52" s="1166">
        <v>0</v>
      </c>
      <c r="BV52" s="1166">
        <v>0</v>
      </c>
      <c r="BW52" s="1166">
        <v>0</v>
      </c>
      <c r="BX52" s="1166">
        <v>0</v>
      </c>
      <c r="BY52" s="1166">
        <v>0</v>
      </c>
      <c r="BZ52" s="1166">
        <v>0</v>
      </c>
      <c r="CA52" s="1166">
        <v>0</v>
      </c>
      <c r="CB52" s="1166">
        <v>0</v>
      </c>
    </row>
    <row r="53" spans="1:80" s="1156" customFormat="1" x14ac:dyDescent="0.3">
      <c r="A53" s="1161">
        <v>91</v>
      </c>
      <c r="B53" s="1162">
        <v>91</v>
      </c>
      <c r="C53" s="1163" t="s">
        <v>224</v>
      </c>
      <c r="D53" s="1154" t="s">
        <v>357</v>
      </c>
      <c r="E53" s="1164">
        <v>0</v>
      </c>
      <c r="F53" s="1165">
        <v>0</v>
      </c>
      <c r="G53" s="1165">
        <v>0</v>
      </c>
      <c r="H53" s="1165">
        <v>0</v>
      </c>
      <c r="I53" s="1165">
        <v>0</v>
      </c>
      <c r="J53" s="1165">
        <v>0</v>
      </c>
      <c r="K53" s="1165">
        <v>0</v>
      </c>
      <c r="L53" s="1166">
        <v>0</v>
      </c>
      <c r="M53" s="1166">
        <v>0</v>
      </c>
      <c r="N53" s="1166">
        <v>0</v>
      </c>
      <c r="O53" s="1166">
        <v>0</v>
      </c>
      <c r="P53" s="1166">
        <v>0</v>
      </c>
      <c r="Q53" s="1166">
        <v>0</v>
      </c>
      <c r="R53" s="1166">
        <v>0</v>
      </c>
      <c r="S53" s="1166">
        <v>0</v>
      </c>
      <c r="T53" s="1166">
        <v>1221597</v>
      </c>
      <c r="U53" s="1166">
        <v>0</v>
      </c>
      <c r="V53" s="1166">
        <v>5754450</v>
      </c>
      <c r="W53" s="1166">
        <v>0</v>
      </c>
      <c r="X53" s="1166">
        <v>0</v>
      </c>
      <c r="Y53" s="1166">
        <v>0</v>
      </c>
      <c r="Z53" s="1166">
        <v>0</v>
      </c>
      <c r="AA53" s="1166">
        <v>146863</v>
      </c>
      <c r="AB53" s="1166">
        <v>0</v>
      </c>
      <c r="AC53" s="1166">
        <v>0</v>
      </c>
      <c r="AD53" s="1166">
        <v>0</v>
      </c>
      <c r="AE53" s="1166">
        <v>0</v>
      </c>
      <c r="AF53" s="1166">
        <v>1106826</v>
      </c>
      <c r="AG53" s="1166">
        <v>0</v>
      </c>
      <c r="AH53" s="1166">
        <v>0</v>
      </c>
      <c r="AI53" s="1166">
        <v>0</v>
      </c>
      <c r="AJ53" s="1166">
        <v>0</v>
      </c>
      <c r="AK53" s="1166">
        <v>1361171</v>
      </c>
      <c r="AL53" s="1166">
        <v>0</v>
      </c>
      <c r="AM53" s="1166">
        <v>0</v>
      </c>
      <c r="AN53" s="1166">
        <v>0</v>
      </c>
      <c r="AO53" s="1166">
        <v>0</v>
      </c>
      <c r="AP53" s="1166">
        <v>0</v>
      </c>
      <c r="AQ53" s="1166">
        <v>0</v>
      </c>
      <c r="AR53" s="1166">
        <v>6105664</v>
      </c>
      <c r="AS53" s="1166">
        <v>0</v>
      </c>
      <c r="AT53" s="1166">
        <v>0</v>
      </c>
      <c r="AU53" s="1166">
        <v>0</v>
      </c>
      <c r="AV53" s="1166">
        <v>575490</v>
      </c>
      <c r="AW53" s="1166">
        <v>0</v>
      </c>
      <c r="AX53" s="1166">
        <v>0</v>
      </c>
      <c r="AY53" s="1166">
        <v>0</v>
      </c>
      <c r="AZ53" s="1166">
        <v>0</v>
      </c>
      <c r="BA53" s="1166">
        <v>683359</v>
      </c>
      <c r="BB53" s="1166">
        <v>0</v>
      </c>
      <c r="BC53" s="1166">
        <v>0</v>
      </c>
      <c r="BD53" s="1166">
        <v>0</v>
      </c>
      <c r="BE53" s="1166">
        <v>0</v>
      </c>
      <c r="BF53" s="1166">
        <v>5921417</v>
      </c>
      <c r="BG53" s="1166">
        <v>0</v>
      </c>
      <c r="BH53" s="1166">
        <v>0</v>
      </c>
      <c r="BI53" s="1166">
        <v>0</v>
      </c>
      <c r="BJ53" s="1166">
        <v>0</v>
      </c>
      <c r="BK53" s="1166">
        <v>0</v>
      </c>
      <c r="BL53" s="1166">
        <v>448342</v>
      </c>
      <c r="BM53" s="1166">
        <v>0</v>
      </c>
      <c r="BN53" s="1166">
        <v>0</v>
      </c>
      <c r="BO53" s="1166">
        <v>0</v>
      </c>
      <c r="BP53" s="1166">
        <v>0</v>
      </c>
      <c r="BQ53" s="1166">
        <v>0</v>
      </c>
      <c r="BR53" s="1166">
        <v>0</v>
      </c>
      <c r="BS53" s="1166">
        <v>0</v>
      </c>
      <c r="BT53" s="1166">
        <v>0</v>
      </c>
      <c r="BU53" s="1166">
        <v>0</v>
      </c>
      <c r="BV53" s="1166">
        <v>0</v>
      </c>
      <c r="BW53" s="1166">
        <v>0</v>
      </c>
      <c r="BX53" s="1166">
        <v>0</v>
      </c>
      <c r="BY53" s="1166">
        <v>0</v>
      </c>
      <c r="BZ53" s="1166">
        <v>0</v>
      </c>
      <c r="CA53" s="1166">
        <v>0</v>
      </c>
      <c r="CB53" s="1166">
        <v>0</v>
      </c>
    </row>
    <row r="54" spans="1:80" s="1156" customFormat="1" x14ac:dyDescent="0.3">
      <c r="A54" s="1154"/>
      <c r="B54" s="1162">
        <v>92</v>
      </c>
      <c r="C54" s="1163" t="s">
        <v>632</v>
      </c>
      <c r="D54" s="1154" t="s">
        <v>358</v>
      </c>
      <c r="E54" s="1164"/>
      <c r="F54" s="1165"/>
      <c r="G54" s="1165"/>
      <c r="H54" s="1165"/>
      <c r="I54" s="1165"/>
      <c r="J54" s="1165"/>
      <c r="K54" s="1165"/>
      <c r="L54" s="1166"/>
      <c r="M54" s="1166"/>
      <c r="N54" s="1166"/>
      <c r="O54" s="1166"/>
      <c r="P54" s="1166"/>
      <c r="Q54" s="1166"/>
      <c r="R54" s="1166"/>
      <c r="S54" s="1166"/>
      <c r="T54" s="1166"/>
      <c r="U54" s="1166"/>
      <c r="V54" s="1166"/>
      <c r="W54" s="1166"/>
      <c r="X54" s="1166"/>
      <c r="Y54" s="1166"/>
      <c r="Z54" s="1166"/>
      <c r="AA54" s="1166"/>
      <c r="AB54" s="1166"/>
      <c r="AC54" s="1166"/>
      <c r="AD54" s="1166"/>
      <c r="AE54" s="1166"/>
      <c r="AF54" s="1166"/>
      <c r="AG54" s="1166"/>
      <c r="AH54" s="1166"/>
      <c r="AI54" s="1166"/>
      <c r="AJ54" s="1166"/>
      <c r="AK54" s="1166"/>
      <c r="AL54" s="1166"/>
      <c r="AM54" s="1166"/>
      <c r="AN54" s="1166"/>
      <c r="AO54" s="1166"/>
      <c r="AP54" s="1166"/>
      <c r="AQ54" s="1166"/>
      <c r="AR54" s="1166"/>
      <c r="AS54" s="1166"/>
      <c r="AT54" s="1166"/>
      <c r="AU54" s="1166"/>
      <c r="AV54" s="1166"/>
      <c r="AW54" s="1166"/>
      <c r="AX54" s="1166"/>
      <c r="AY54" s="1166"/>
      <c r="AZ54" s="1166"/>
      <c r="BA54" s="1166"/>
      <c r="BB54" s="1166"/>
      <c r="BC54" s="1166"/>
      <c r="BD54" s="1166"/>
      <c r="BE54" s="1166"/>
      <c r="BF54" s="1166"/>
      <c r="BG54" s="1166"/>
      <c r="BH54" s="1166"/>
      <c r="BI54" s="1166"/>
      <c r="BJ54" s="1166"/>
      <c r="BK54" s="1166"/>
      <c r="BL54" s="1166"/>
      <c r="BM54" s="1166"/>
      <c r="BN54" s="1166"/>
      <c r="BO54" s="1166"/>
      <c r="BP54" s="1166"/>
      <c r="BQ54" s="1166"/>
      <c r="BR54" s="1166"/>
      <c r="BS54" s="1166"/>
      <c r="BT54" s="1166"/>
      <c r="BU54" s="1166"/>
      <c r="BV54" s="1166"/>
      <c r="BW54" s="1166"/>
      <c r="BX54" s="1166"/>
      <c r="BY54" s="1166"/>
      <c r="BZ54" s="1166"/>
      <c r="CA54" s="1166"/>
      <c r="CB54" s="1166"/>
    </row>
    <row r="55" spans="1:80" s="1156" customFormat="1" x14ac:dyDescent="0.3">
      <c r="A55" s="1161">
        <v>93</v>
      </c>
      <c r="B55" s="1162">
        <v>93</v>
      </c>
      <c r="C55" s="1163" t="s">
        <v>237</v>
      </c>
      <c r="D55" s="1154" t="s">
        <v>359</v>
      </c>
      <c r="E55" s="1164">
        <v>0</v>
      </c>
      <c r="F55" s="1165">
        <v>0</v>
      </c>
      <c r="G55" s="1165">
        <v>0</v>
      </c>
      <c r="H55" s="1165">
        <v>0</v>
      </c>
      <c r="I55" s="1165">
        <v>0</v>
      </c>
      <c r="J55" s="1165">
        <v>0</v>
      </c>
      <c r="K55" s="1165">
        <v>0</v>
      </c>
      <c r="L55" s="1166">
        <v>0</v>
      </c>
      <c r="M55" s="1166">
        <v>0</v>
      </c>
      <c r="N55" s="1166">
        <v>0</v>
      </c>
      <c r="O55" s="1166">
        <v>0</v>
      </c>
      <c r="P55" s="1166">
        <v>0</v>
      </c>
      <c r="Q55" s="1166">
        <v>0</v>
      </c>
      <c r="R55" s="1166">
        <v>0</v>
      </c>
      <c r="S55" s="1166">
        <v>0</v>
      </c>
      <c r="T55" s="1166">
        <v>12944413</v>
      </c>
      <c r="U55" s="1166">
        <v>0</v>
      </c>
      <c r="V55" s="1166">
        <v>46017872</v>
      </c>
      <c r="W55" s="1166">
        <v>0</v>
      </c>
      <c r="X55" s="1166">
        <v>0</v>
      </c>
      <c r="Y55" s="1166">
        <v>0</v>
      </c>
      <c r="Z55" s="1166">
        <v>0</v>
      </c>
      <c r="AA55" s="1166">
        <v>3445337</v>
      </c>
      <c r="AB55" s="1166">
        <v>344690</v>
      </c>
      <c r="AC55" s="1166">
        <v>0</v>
      </c>
      <c r="AD55" s="1166">
        <v>0</v>
      </c>
      <c r="AE55" s="1166">
        <v>0</v>
      </c>
      <c r="AF55" s="1166">
        <v>6799630</v>
      </c>
      <c r="AG55" s="1166">
        <v>0</v>
      </c>
      <c r="AH55" s="1166">
        <v>0</v>
      </c>
      <c r="AI55" s="1166">
        <v>0</v>
      </c>
      <c r="AJ55" s="1166">
        <v>0</v>
      </c>
      <c r="AK55" s="1166">
        <v>14623300</v>
      </c>
      <c r="AL55" s="1166">
        <v>0</v>
      </c>
      <c r="AM55" s="1166">
        <v>0</v>
      </c>
      <c r="AN55" s="1166">
        <v>0</v>
      </c>
      <c r="AO55" s="1166">
        <v>0</v>
      </c>
      <c r="AP55" s="1166">
        <v>0</v>
      </c>
      <c r="AQ55" s="1166">
        <v>0</v>
      </c>
      <c r="AR55" s="1166">
        <v>47178991</v>
      </c>
      <c r="AS55" s="1166">
        <v>0</v>
      </c>
      <c r="AT55" s="1166">
        <v>0</v>
      </c>
      <c r="AU55" s="1166">
        <v>0</v>
      </c>
      <c r="AV55" s="1166">
        <v>7838694</v>
      </c>
      <c r="AW55" s="1166">
        <v>0</v>
      </c>
      <c r="AX55" s="1166">
        <v>0</v>
      </c>
      <c r="AY55" s="1166">
        <v>0</v>
      </c>
      <c r="AZ55" s="1166">
        <v>0</v>
      </c>
      <c r="BA55" s="1166">
        <v>6587772</v>
      </c>
      <c r="BB55" s="1166">
        <v>0</v>
      </c>
      <c r="BC55" s="1166">
        <v>0</v>
      </c>
      <c r="BD55" s="1166">
        <v>0</v>
      </c>
      <c r="BE55" s="1166">
        <v>0</v>
      </c>
      <c r="BF55" s="1166">
        <v>31037334</v>
      </c>
      <c r="BG55" s="1166">
        <v>0</v>
      </c>
      <c r="BH55" s="1166">
        <v>0</v>
      </c>
      <c r="BI55" s="1166">
        <v>0</v>
      </c>
      <c r="BJ55" s="1166">
        <v>0</v>
      </c>
      <c r="BK55" s="1166">
        <v>0</v>
      </c>
      <c r="BL55" s="1166">
        <v>8028086</v>
      </c>
      <c r="BM55" s="1166">
        <v>0</v>
      </c>
      <c r="BN55" s="1166">
        <v>0</v>
      </c>
      <c r="BO55" s="1166">
        <v>0</v>
      </c>
      <c r="BP55" s="1166">
        <v>0</v>
      </c>
      <c r="BQ55" s="1166">
        <v>0</v>
      </c>
      <c r="BR55" s="1166">
        <v>0</v>
      </c>
      <c r="BS55" s="1166">
        <v>0</v>
      </c>
      <c r="BT55" s="1166">
        <v>0</v>
      </c>
      <c r="BU55" s="1166">
        <v>0</v>
      </c>
      <c r="BV55" s="1166">
        <v>0</v>
      </c>
      <c r="BW55" s="1166">
        <v>0</v>
      </c>
      <c r="BX55" s="1166">
        <v>0</v>
      </c>
      <c r="BY55" s="1166">
        <v>0</v>
      </c>
      <c r="BZ55" s="1166">
        <v>0</v>
      </c>
      <c r="CA55" s="1166">
        <v>0</v>
      </c>
      <c r="CB55" s="1166">
        <v>0</v>
      </c>
    </row>
    <row r="56" spans="1:80" s="1156" customFormat="1" x14ac:dyDescent="0.3">
      <c r="A56" s="1161">
        <v>94</v>
      </c>
      <c r="B56" s="1162">
        <v>94</v>
      </c>
      <c r="C56" s="1163" t="s">
        <v>240</v>
      </c>
      <c r="D56" s="1154" t="s">
        <v>360</v>
      </c>
      <c r="E56" s="1164">
        <v>0</v>
      </c>
      <c r="F56" s="1165">
        <v>0</v>
      </c>
      <c r="G56" s="1165">
        <v>0</v>
      </c>
      <c r="H56" s="1165">
        <v>0</v>
      </c>
      <c r="I56" s="1165">
        <v>0</v>
      </c>
      <c r="J56" s="1165">
        <v>0</v>
      </c>
      <c r="K56" s="1165">
        <v>0</v>
      </c>
      <c r="L56" s="1166">
        <v>0</v>
      </c>
      <c r="M56" s="1166">
        <v>0</v>
      </c>
      <c r="N56" s="1166">
        <v>0</v>
      </c>
      <c r="O56" s="1166">
        <v>0</v>
      </c>
      <c r="P56" s="1166">
        <v>0</v>
      </c>
      <c r="Q56" s="1166">
        <v>0</v>
      </c>
      <c r="R56" s="1166">
        <v>0</v>
      </c>
      <c r="S56" s="1166">
        <v>0</v>
      </c>
      <c r="T56" s="1166">
        <v>9539862</v>
      </c>
      <c r="U56" s="1166">
        <v>0</v>
      </c>
      <c r="V56" s="1166">
        <v>36079378</v>
      </c>
      <c r="W56" s="1166">
        <v>0</v>
      </c>
      <c r="X56" s="1166">
        <v>0</v>
      </c>
      <c r="Y56" s="1166">
        <v>0</v>
      </c>
      <c r="Z56" s="1166">
        <v>0</v>
      </c>
      <c r="AA56" s="1166">
        <v>3537216</v>
      </c>
      <c r="AB56" s="1166">
        <v>652788</v>
      </c>
      <c r="AC56" s="1166">
        <v>0</v>
      </c>
      <c r="AD56" s="1166">
        <v>0</v>
      </c>
      <c r="AE56" s="1166">
        <v>0</v>
      </c>
      <c r="AF56" s="1166">
        <v>5546578</v>
      </c>
      <c r="AG56" s="1166">
        <v>0</v>
      </c>
      <c r="AH56" s="1166">
        <v>0</v>
      </c>
      <c r="AI56" s="1166">
        <v>0</v>
      </c>
      <c r="AJ56" s="1166">
        <v>0</v>
      </c>
      <c r="AK56" s="1166">
        <v>13222247</v>
      </c>
      <c r="AL56" s="1166">
        <v>0</v>
      </c>
      <c r="AM56" s="1166">
        <v>0</v>
      </c>
      <c r="AN56" s="1166">
        <v>0</v>
      </c>
      <c r="AO56" s="1166">
        <v>0</v>
      </c>
      <c r="AP56" s="1166">
        <v>0</v>
      </c>
      <c r="AQ56" s="1166">
        <v>0</v>
      </c>
      <c r="AR56" s="1166">
        <v>43799247</v>
      </c>
      <c r="AS56" s="1166">
        <v>0</v>
      </c>
      <c r="AT56" s="1166">
        <v>0</v>
      </c>
      <c r="AU56" s="1166">
        <v>0</v>
      </c>
      <c r="AV56" s="1166">
        <v>6773377</v>
      </c>
      <c r="AW56" s="1166">
        <v>0</v>
      </c>
      <c r="AX56" s="1166">
        <v>0</v>
      </c>
      <c r="AY56" s="1166">
        <v>0</v>
      </c>
      <c r="AZ56" s="1166">
        <v>0</v>
      </c>
      <c r="BA56" s="1166">
        <v>6595934</v>
      </c>
      <c r="BB56" s="1166">
        <v>0</v>
      </c>
      <c r="BC56" s="1166">
        <v>0</v>
      </c>
      <c r="BD56" s="1166">
        <v>0</v>
      </c>
      <c r="BE56" s="1166">
        <v>0</v>
      </c>
      <c r="BF56" s="1166">
        <v>29748161</v>
      </c>
      <c r="BG56" s="1166">
        <v>0</v>
      </c>
      <c r="BH56" s="1166">
        <v>0</v>
      </c>
      <c r="BI56" s="1166">
        <v>0</v>
      </c>
      <c r="BJ56" s="1166">
        <v>0</v>
      </c>
      <c r="BK56" s="1166">
        <v>0</v>
      </c>
      <c r="BL56" s="1166">
        <v>7097870</v>
      </c>
      <c r="BM56" s="1166">
        <v>0</v>
      </c>
      <c r="BN56" s="1166">
        <v>0</v>
      </c>
      <c r="BO56" s="1166">
        <v>0</v>
      </c>
      <c r="BP56" s="1166">
        <v>0</v>
      </c>
      <c r="BQ56" s="1166">
        <v>0</v>
      </c>
      <c r="BR56" s="1166">
        <v>0</v>
      </c>
      <c r="BS56" s="1166">
        <v>0</v>
      </c>
      <c r="BT56" s="1166">
        <v>0</v>
      </c>
      <c r="BU56" s="1166">
        <v>0</v>
      </c>
      <c r="BV56" s="1166">
        <v>0</v>
      </c>
      <c r="BW56" s="1166">
        <v>0</v>
      </c>
      <c r="BX56" s="1166">
        <v>0</v>
      </c>
      <c r="BY56" s="1166">
        <v>0</v>
      </c>
      <c r="BZ56" s="1166">
        <v>0</v>
      </c>
      <c r="CA56" s="1166">
        <v>0</v>
      </c>
      <c r="CB56" s="1166">
        <v>0</v>
      </c>
    </row>
    <row r="57" spans="1:80" s="1156" customFormat="1" x14ac:dyDescent="0.3">
      <c r="A57" s="1161">
        <v>97</v>
      </c>
      <c r="B57" s="1162">
        <v>97</v>
      </c>
      <c r="C57" s="1163" t="s">
        <v>236</v>
      </c>
      <c r="D57" s="1154" t="s">
        <v>361</v>
      </c>
      <c r="E57" s="1164">
        <v>0</v>
      </c>
      <c r="F57" s="1165">
        <v>0</v>
      </c>
      <c r="G57" s="1165">
        <v>0</v>
      </c>
      <c r="H57" s="1165">
        <v>0</v>
      </c>
      <c r="I57" s="1165">
        <v>0</v>
      </c>
      <c r="J57" s="1165">
        <v>0</v>
      </c>
      <c r="K57" s="1165">
        <v>0</v>
      </c>
      <c r="L57" s="1166">
        <v>0</v>
      </c>
      <c r="M57" s="1166">
        <v>0</v>
      </c>
      <c r="N57" s="1166">
        <v>0</v>
      </c>
      <c r="O57" s="1166">
        <v>0</v>
      </c>
      <c r="P57" s="1166">
        <v>0</v>
      </c>
      <c r="Q57" s="1166">
        <v>0</v>
      </c>
      <c r="R57" s="1166">
        <v>0</v>
      </c>
      <c r="S57" s="1166">
        <v>0</v>
      </c>
      <c r="T57" s="1166">
        <v>12487945</v>
      </c>
      <c r="U57" s="1166">
        <v>0</v>
      </c>
      <c r="V57" s="1166">
        <v>45879245</v>
      </c>
      <c r="W57" s="1166">
        <v>0</v>
      </c>
      <c r="X57" s="1166">
        <v>0</v>
      </c>
      <c r="Y57" s="1166">
        <v>0</v>
      </c>
      <c r="Z57" s="1166">
        <v>0</v>
      </c>
      <c r="AA57" s="1166">
        <v>3439937</v>
      </c>
      <c r="AB57" s="1166">
        <v>344690</v>
      </c>
      <c r="AC57" s="1166">
        <v>0</v>
      </c>
      <c r="AD57" s="1166">
        <v>0</v>
      </c>
      <c r="AE57" s="1166">
        <v>0</v>
      </c>
      <c r="AF57" s="1166">
        <v>5980619</v>
      </c>
      <c r="AG57" s="1166">
        <v>0</v>
      </c>
      <c r="AH57" s="1166">
        <v>0</v>
      </c>
      <c r="AI57" s="1166">
        <v>0</v>
      </c>
      <c r="AJ57" s="1166">
        <v>0</v>
      </c>
      <c r="AK57" s="1166">
        <v>14395545</v>
      </c>
      <c r="AL57" s="1166">
        <v>0</v>
      </c>
      <c r="AM57" s="1166">
        <v>0</v>
      </c>
      <c r="AN57" s="1166">
        <v>0</v>
      </c>
      <c r="AO57" s="1166">
        <v>0</v>
      </c>
      <c r="AP57" s="1166">
        <v>0</v>
      </c>
      <c r="AQ57" s="1166">
        <v>0</v>
      </c>
      <c r="AR57" s="1166">
        <v>46800331</v>
      </c>
      <c r="AS57" s="1166">
        <v>0</v>
      </c>
      <c r="AT57" s="1166">
        <v>0</v>
      </c>
      <c r="AU57" s="1166">
        <v>0</v>
      </c>
      <c r="AV57" s="1166">
        <v>6489145</v>
      </c>
      <c r="AW57" s="1166">
        <v>0</v>
      </c>
      <c r="AX57" s="1166">
        <v>0</v>
      </c>
      <c r="AY57" s="1166">
        <v>0</v>
      </c>
      <c r="AZ57" s="1166">
        <v>0</v>
      </c>
      <c r="BA57" s="1166">
        <v>6514785</v>
      </c>
      <c r="BB57" s="1166">
        <v>0</v>
      </c>
      <c r="BC57" s="1166">
        <v>0</v>
      </c>
      <c r="BD57" s="1166">
        <v>0</v>
      </c>
      <c r="BE57" s="1166">
        <v>0</v>
      </c>
      <c r="BF57" s="1166">
        <v>27998736</v>
      </c>
      <c r="BG57" s="1166">
        <v>0</v>
      </c>
      <c r="BH57" s="1166">
        <v>0</v>
      </c>
      <c r="BI57" s="1166">
        <v>0</v>
      </c>
      <c r="BJ57" s="1166">
        <v>0</v>
      </c>
      <c r="BK57" s="1166">
        <v>0</v>
      </c>
      <c r="BL57" s="1166">
        <v>8028086</v>
      </c>
      <c r="BM57" s="1166">
        <v>0</v>
      </c>
      <c r="BN57" s="1166">
        <v>0</v>
      </c>
      <c r="BO57" s="1166">
        <v>0</v>
      </c>
      <c r="BP57" s="1166">
        <v>0</v>
      </c>
      <c r="BQ57" s="1166">
        <v>0</v>
      </c>
      <c r="BR57" s="1166">
        <v>0</v>
      </c>
      <c r="BS57" s="1166">
        <v>0</v>
      </c>
      <c r="BT57" s="1166">
        <v>0</v>
      </c>
      <c r="BU57" s="1166">
        <v>0</v>
      </c>
      <c r="BV57" s="1166">
        <v>0</v>
      </c>
      <c r="BW57" s="1166">
        <v>0</v>
      </c>
      <c r="BX57" s="1166">
        <v>0</v>
      </c>
      <c r="BY57" s="1166">
        <v>0</v>
      </c>
      <c r="BZ57" s="1166">
        <v>0</v>
      </c>
      <c r="CA57" s="1166">
        <v>0</v>
      </c>
      <c r="CB57" s="1166">
        <v>0</v>
      </c>
    </row>
    <row r="58" spans="1:80" s="1156" customFormat="1" x14ac:dyDescent="0.3">
      <c r="A58" s="1161">
        <v>98</v>
      </c>
      <c r="B58" s="1162">
        <v>98</v>
      </c>
      <c r="C58" s="1163" t="s">
        <v>241</v>
      </c>
      <c r="D58" s="1154" t="s">
        <v>362</v>
      </c>
      <c r="E58" s="1164">
        <v>0</v>
      </c>
      <c r="F58" s="1165">
        <v>0</v>
      </c>
      <c r="G58" s="1165">
        <v>0</v>
      </c>
      <c r="H58" s="1165">
        <v>0</v>
      </c>
      <c r="I58" s="1165">
        <v>0</v>
      </c>
      <c r="J58" s="1165">
        <v>0</v>
      </c>
      <c r="K58" s="1165">
        <v>0</v>
      </c>
      <c r="L58" s="1166">
        <v>0</v>
      </c>
      <c r="M58" s="1166">
        <v>0</v>
      </c>
      <c r="N58" s="1166">
        <v>0</v>
      </c>
      <c r="O58" s="1166">
        <v>0</v>
      </c>
      <c r="P58" s="1166">
        <v>0</v>
      </c>
      <c r="Q58" s="1166">
        <v>0</v>
      </c>
      <c r="R58" s="1166">
        <v>0</v>
      </c>
      <c r="S58" s="1166">
        <v>0</v>
      </c>
      <c r="T58" s="1166">
        <v>5990</v>
      </c>
      <c r="U58" s="1166">
        <v>0</v>
      </c>
      <c r="V58" s="1166">
        <v>26900</v>
      </c>
      <c r="W58" s="1166">
        <v>0</v>
      </c>
      <c r="X58" s="1166">
        <v>0</v>
      </c>
      <c r="Y58" s="1166">
        <v>0</v>
      </c>
      <c r="Z58" s="1166">
        <v>0</v>
      </c>
      <c r="AA58" s="1166">
        <v>2978</v>
      </c>
      <c r="AB58" s="1166">
        <v>0</v>
      </c>
      <c r="AC58" s="1166">
        <v>0</v>
      </c>
      <c r="AD58" s="1166">
        <v>0</v>
      </c>
      <c r="AE58" s="1166">
        <v>0</v>
      </c>
      <c r="AF58" s="1166">
        <v>7734</v>
      </c>
      <c r="AG58" s="1166">
        <v>0</v>
      </c>
      <c r="AH58" s="1166">
        <v>0</v>
      </c>
      <c r="AI58" s="1166">
        <v>0</v>
      </c>
      <c r="AJ58" s="1166">
        <v>0</v>
      </c>
      <c r="AK58" s="1166">
        <v>38998</v>
      </c>
      <c r="AL58" s="1166">
        <v>0</v>
      </c>
      <c r="AM58" s="1166">
        <v>0</v>
      </c>
      <c r="AN58" s="1166">
        <v>0</v>
      </c>
      <c r="AO58" s="1166">
        <v>0</v>
      </c>
      <c r="AP58" s="1166">
        <v>0</v>
      </c>
      <c r="AQ58" s="1166">
        <v>0</v>
      </c>
      <c r="AR58" s="1166">
        <v>115059</v>
      </c>
      <c r="AS58" s="1166">
        <v>0</v>
      </c>
      <c r="AT58" s="1166">
        <v>0</v>
      </c>
      <c r="AU58" s="1166">
        <v>0</v>
      </c>
      <c r="AV58" s="1166">
        <v>0</v>
      </c>
      <c r="AW58" s="1166">
        <v>0</v>
      </c>
      <c r="AX58" s="1166">
        <v>0</v>
      </c>
      <c r="AY58" s="1166">
        <v>0</v>
      </c>
      <c r="AZ58" s="1166">
        <v>0</v>
      </c>
      <c r="BA58" s="1166">
        <v>11196</v>
      </c>
      <c r="BB58" s="1166">
        <v>0</v>
      </c>
      <c r="BC58" s="1166">
        <v>0</v>
      </c>
      <c r="BD58" s="1166">
        <v>0</v>
      </c>
      <c r="BE58" s="1166">
        <v>0</v>
      </c>
      <c r="BF58" s="1166">
        <v>6030</v>
      </c>
      <c r="BG58" s="1166">
        <v>0</v>
      </c>
      <c r="BH58" s="1166">
        <v>0</v>
      </c>
      <c r="BI58" s="1166">
        <v>0</v>
      </c>
      <c r="BJ58" s="1166">
        <v>0</v>
      </c>
      <c r="BK58" s="1166">
        <v>0</v>
      </c>
      <c r="BL58" s="1166">
        <v>0</v>
      </c>
      <c r="BM58" s="1166">
        <v>0</v>
      </c>
      <c r="BN58" s="1166">
        <v>0</v>
      </c>
      <c r="BO58" s="1166">
        <v>0</v>
      </c>
      <c r="BP58" s="1166">
        <v>0</v>
      </c>
      <c r="BQ58" s="1166">
        <v>0</v>
      </c>
      <c r="BR58" s="1166">
        <v>0</v>
      </c>
      <c r="BS58" s="1166">
        <v>0</v>
      </c>
      <c r="BT58" s="1166">
        <v>0</v>
      </c>
      <c r="BU58" s="1166">
        <v>0</v>
      </c>
      <c r="BV58" s="1166">
        <v>0</v>
      </c>
      <c r="BW58" s="1166">
        <v>0</v>
      </c>
      <c r="BX58" s="1166">
        <v>0</v>
      </c>
      <c r="BY58" s="1166">
        <v>0</v>
      </c>
      <c r="BZ58" s="1166">
        <v>0</v>
      </c>
      <c r="CA58" s="1166">
        <v>0</v>
      </c>
      <c r="CB58" s="1166">
        <v>0</v>
      </c>
    </row>
    <row r="59" spans="1:80" s="1156" customFormat="1" x14ac:dyDescent="0.3">
      <c r="A59" s="1161">
        <v>99</v>
      </c>
      <c r="B59" s="1162">
        <v>99</v>
      </c>
      <c r="C59" s="1163" t="s">
        <v>238</v>
      </c>
      <c r="D59" s="1154" t="s">
        <v>363</v>
      </c>
      <c r="E59" s="1164">
        <v>0</v>
      </c>
      <c r="F59" s="1165">
        <v>0</v>
      </c>
      <c r="G59" s="1165">
        <v>0</v>
      </c>
      <c r="H59" s="1165">
        <v>0</v>
      </c>
      <c r="I59" s="1165">
        <v>0</v>
      </c>
      <c r="J59" s="1165">
        <v>0</v>
      </c>
      <c r="K59" s="1165">
        <v>0</v>
      </c>
      <c r="L59" s="1166">
        <v>0</v>
      </c>
      <c r="M59" s="1166">
        <v>0</v>
      </c>
      <c r="N59" s="1166">
        <v>0</v>
      </c>
      <c r="O59" s="1166">
        <v>0</v>
      </c>
      <c r="P59" s="1166">
        <v>0</v>
      </c>
      <c r="Q59" s="1166">
        <v>0</v>
      </c>
      <c r="R59" s="1166">
        <v>0</v>
      </c>
      <c r="S59" s="1166">
        <v>0</v>
      </c>
      <c r="T59" s="1166">
        <v>5370145</v>
      </c>
      <c r="U59" s="1166">
        <v>0</v>
      </c>
      <c r="V59" s="1166">
        <v>34874873</v>
      </c>
      <c r="W59" s="1166">
        <v>0</v>
      </c>
      <c r="X59" s="1166">
        <v>0</v>
      </c>
      <c r="Y59" s="1166">
        <v>0</v>
      </c>
      <c r="Z59" s="1166">
        <v>0</v>
      </c>
      <c r="AA59" s="1166">
        <v>2369263</v>
      </c>
      <c r="AB59" s="1166">
        <v>0</v>
      </c>
      <c r="AC59" s="1166">
        <v>0</v>
      </c>
      <c r="AD59" s="1166">
        <v>0</v>
      </c>
      <c r="AE59" s="1166">
        <v>0</v>
      </c>
      <c r="AF59" s="1166">
        <v>3750636</v>
      </c>
      <c r="AG59" s="1166">
        <v>0</v>
      </c>
      <c r="AH59" s="1166">
        <v>0</v>
      </c>
      <c r="AI59" s="1166">
        <v>0</v>
      </c>
      <c r="AJ59" s="1166">
        <v>0</v>
      </c>
      <c r="AK59" s="1166">
        <v>10662668</v>
      </c>
      <c r="AL59" s="1166">
        <v>0</v>
      </c>
      <c r="AM59" s="1166">
        <v>0</v>
      </c>
      <c r="AN59" s="1166">
        <v>0</v>
      </c>
      <c r="AO59" s="1166">
        <v>0</v>
      </c>
      <c r="AP59" s="1166">
        <v>0</v>
      </c>
      <c r="AQ59" s="1166">
        <v>0</v>
      </c>
      <c r="AR59" s="1166">
        <v>32863804</v>
      </c>
      <c r="AS59" s="1166">
        <v>0</v>
      </c>
      <c r="AT59" s="1166">
        <v>0</v>
      </c>
      <c r="AU59" s="1166">
        <v>0</v>
      </c>
      <c r="AV59" s="1166">
        <v>4505513</v>
      </c>
      <c r="AW59" s="1166">
        <v>0</v>
      </c>
      <c r="AX59" s="1166">
        <v>0</v>
      </c>
      <c r="AY59" s="1166">
        <v>0</v>
      </c>
      <c r="AZ59" s="1166">
        <v>0</v>
      </c>
      <c r="BA59" s="1166">
        <v>4099796</v>
      </c>
      <c r="BB59" s="1166">
        <v>0</v>
      </c>
      <c r="BC59" s="1166">
        <v>0</v>
      </c>
      <c r="BD59" s="1166">
        <v>0</v>
      </c>
      <c r="BE59" s="1166">
        <v>0</v>
      </c>
      <c r="BF59" s="1166">
        <v>0</v>
      </c>
      <c r="BG59" s="1166">
        <v>0</v>
      </c>
      <c r="BH59" s="1166">
        <v>0</v>
      </c>
      <c r="BI59" s="1166">
        <v>0</v>
      </c>
      <c r="BJ59" s="1166">
        <v>0</v>
      </c>
      <c r="BK59" s="1166">
        <v>0</v>
      </c>
      <c r="BL59" s="1166">
        <v>6932994</v>
      </c>
      <c r="BM59" s="1166">
        <v>0</v>
      </c>
      <c r="BN59" s="1166">
        <v>0</v>
      </c>
      <c r="BO59" s="1166">
        <v>0</v>
      </c>
      <c r="BP59" s="1166">
        <v>0</v>
      </c>
      <c r="BQ59" s="1166">
        <v>0</v>
      </c>
      <c r="BR59" s="1166">
        <v>0</v>
      </c>
      <c r="BS59" s="1166">
        <v>0</v>
      </c>
      <c r="BT59" s="1166">
        <v>0</v>
      </c>
      <c r="BU59" s="1166">
        <v>0</v>
      </c>
      <c r="BV59" s="1166">
        <v>0</v>
      </c>
      <c r="BW59" s="1166">
        <v>0</v>
      </c>
      <c r="BX59" s="1166">
        <v>0</v>
      </c>
      <c r="BY59" s="1166">
        <v>0</v>
      </c>
      <c r="BZ59" s="1166">
        <v>0</v>
      </c>
      <c r="CA59" s="1166">
        <v>0</v>
      </c>
      <c r="CB59" s="1166">
        <v>0</v>
      </c>
    </row>
    <row r="60" spans="1:80" s="1156" customFormat="1" x14ac:dyDescent="0.3">
      <c r="A60" s="1161">
        <v>100</v>
      </c>
      <c r="B60" s="1162">
        <v>100</v>
      </c>
      <c r="C60" s="1163" t="s">
        <v>251</v>
      </c>
      <c r="D60" s="1154" t="s">
        <v>364</v>
      </c>
      <c r="E60" s="1164">
        <v>0</v>
      </c>
      <c r="F60" s="1165">
        <v>0</v>
      </c>
      <c r="G60" s="1165">
        <v>0</v>
      </c>
      <c r="H60" s="1165">
        <v>0</v>
      </c>
      <c r="I60" s="1165">
        <v>0</v>
      </c>
      <c r="J60" s="1165">
        <v>0</v>
      </c>
      <c r="K60" s="1165">
        <v>0</v>
      </c>
      <c r="L60" s="1166">
        <v>0</v>
      </c>
      <c r="M60" s="1166">
        <v>0</v>
      </c>
      <c r="N60" s="1166">
        <v>0</v>
      </c>
      <c r="O60" s="1166">
        <v>0</v>
      </c>
      <c r="P60" s="1166">
        <v>0</v>
      </c>
      <c r="Q60" s="1166">
        <v>0</v>
      </c>
      <c r="R60" s="1166">
        <v>0</v>
      </c>
      <c r="S60" s="1166">
        <v>0</v>
      </c>
      <c r="T60" s="1166">
        <v>193642</v>
      </c>
      <c r="U60" s="1166">
        <v>0</v>
      </c>
      <c r="V60" s="1166">
        <v>670253</v>
      </c>
      <c r="W60" s="1166">
        <v>0</v>
      </c>
      <c r="X60" s="1166">
        <v>0</v>
      </c>
      <c r="Y60" s="1166">
        <v>0</v>
      </c>
      <c r="Z60" s="1166">
        <v>0</v>
      </c>
      <c r="AA60" s="1166">
        <v>80997</v>
      </c>
      <c r="AB60" s="1166">
        <v>0</v>
      </c>
      <c r="AC60" s="1166">
        <v>0</v>
      </c>
      <c r="AD60" s="1166">
        <v>0</v>
      </c>
      <c r="AE60" s="1166">
        <v>0</v>
      </c>
      <c r="AF60" s="1166">
        <v>219003</v>
      </c>
      <c r="AG60" s="1166">
        <v>0</v>
      </c>
      <c r="AH60" s="1166">
        <v>0</v>
      </c>
      <c r="AI60" s="1166">
        <v>0</v>
      </c>
      <c r="AJ60" s="1166">
        <v>0</v>
      </c>
      <c r="AK60" s="1166">
        <v>159945</v>
      </c>
      <c r="AL60" s="1166">
        <v>0</v>
      </c>
      <c r="AM60" s="1166">
        <v>0</v>
      </c>
      <c r="AN60" s="1166">
        <v>0</v>
      </c>
      <c r="AO60" s="1166">
        <v>0</v>
      </c>
      <c r="AP60" s="1166">
        <v>0</v>
      </c>
      <c r="AQ60" s="1166">
        <v>0</v>
      </c>
      <c r="AR60" s="1166">
        <v>632392</v>
      </c>
      <c r="AS60" s="1166">
        <v>0</v>
      </c>
      <c r="AT60" s="1166">
        <v>0</v>
      </c>
      <c r="AU60" s="1166">
        <v>0</v>
      </c>
      <c r="AV60" s="1166">
        <v>0</v>
      </c>
      <c r="AW60" s="1166">
        <v>0</v>
      </c>
      <c r="AX60" s="1166">
        <v>0</v>
      </c>
      <c r="AY60" s="1166">
        <v>0</v>
      </c>
      <c r="AZ60" s="1166">
        <v>0</v>
      </c>
      <c r="BA60" s="1166">
        <v>107593</v>
      </c>
      <c r="BB60" s="1166">
        <v>0</v>
      </c>
      <c r="BC60" s="1166">
        <v>0</v>
      </c>
      <c r="BD60" s="1166">
        <v>0</v>
      </c>
      <c r="BE60" s="1166">
        <v>0</v>
      </c>
      <c r="BF60" s="1166">
        <v>91132</v>
      </c>
      <c r="BG60" s="1166">
        <v>0</v>
      </c>
      <c r="BH60" s="1166">
        <v>0</v>
      </c>
      <c r="BI60" s="1166">
        <v>0</v>
      </c>
      <c r="BJ60" s="1166">
        <v>0</v>
      </c>
      <c r="BK60" s="1166">
        <v>0</v>
      </c>
      <c r="BL60" s="1166">
        <v>0</v>
      </c>
      <c r="BM60" s="1166">
        <v>0</v>
      </c>
      <c r="BN60" s="1166">
        <v>0</v>
      </c>
      <c r="BO60" s="1166">
        <v>0</v>
      </c>
      <c r="BP60" s="1166">
        <v>0</v>
      </c>
      <c r="BQ60" s="1166">
        <v>0</v>
      </c>
      <c r="BR60" s="1166">
        <v>0</v>
      </c>
      <c r="BS60" s="1166">
        <v>0</v>
      </c>
      <c r="BT60" s="1166">
        <v>0</v>
      </c>
      <c r="BU60" s="1166">
        <v>0</v>
      </c>
      <c r="BV60" s="1166">
        <v>0</v>
      </c>
      <c r="BW60" s="1166">
        <v>0</v>
      </c>
      <c r="BX60" s="1166">
        <v>0</v>
      </c>
      <c r="BY60" s="1166">
        <v>0</v>
      </c>
      <c r="BZ60" s="1166">
        <v>0</v>
      </c>
      <c r="CA60" s="1166">
        <v>0</v>
      </c>
      <c r="CB60" s="1166">
        <v>0</v>
      </c>
    </row>
    <row r="61" spans="1:80" s="1156" customFormat="1" x14ac:dyDescent="0.3">
      <c r="A61" s="1161">
        <v>101</v>
      </c>
      <c r="B61" s="1162">
        <v>101</v>
      </c>
      <c r="C61" s="1163" t="s">
        <v>250</v>
      </c>
      <c r="D61" s="1154" t="s">
        <v>365</v>
      </c>
      <c r="E61" s="1164">
        <v>0</v>
      </c>
      <c r="F61" s="1165">
        <v>0</v>
      </c>
      <c r="G61" s="1165">
        <v>0</v>
      </c>
      <c r="H61" s="1165">
        <v>0</v>
      </c>
      <c r="I61" s="1165">
        <v>0</v>
      </c>
      <c r="J61" s="1165">
        <v>0</v>
      </c>
      <c r="K61" s="1165">
        <v>0</v>
      </c>
      <c r="L61" s="1166">
        <v>0</v>
      </c>
      <c r="M61" s="1166">
        <v>0</v>
      </c>
      <c r="N61" s="1166">
        <v>0</v>
      </c>
      <c r="O61" s="1166">
        <v>0</v>
      </c>
      <c r="P61" s="1166">
        <v>0</v>
      </c>
      <c r="Q61" s="1166">
        <v>0</v>
      </c>
      <c r="R61" s="1166">
        <v>0</v>
      </c>
      <c r="S61" s="1166">
        <v>0</v>
      </c>
      <c r="T61" s="1166">
        <v>626438</v>
      </c>
      <c r="U61" s="1166">
        <v>0</v>
      </c>
      <c r="V61" s="1166">
        <v>2700129</v>
      </c>
      <c r="W61" s="1166">
        <v>0</v>
      </c>
      <c r="X61" s="1166">
        <v>0</v>
      </c>
      <c r="Y61" s="1166">
        <v>0</v>
      </c>
      <c r="Z61" s="1166">
        <v>0</v>
      </c>
      <c r="AA61" s="1166">
        <v>2936</v>
      </c>
      <c r="AB61" s="1166">
        <v>589743</v>
      </c>
      <c r="AC61" s="1166">
        <v>0</v>
      </c>
      <c r="AD61" s="1166">
        <v>0</v>
      </c>
      <c r="AE61" s="1166">
        <v>0</v>
      </c>
      <c r="AF61" s="1166">
        <v>20486</v>
      </c>
      <c r="AG61" s="1166">
        <v>0</v>
      </c>
      <c r="AH61" s="1166">
        <v>0</v>
      </c>
      <c r="AI61" s="1166">
        <v>0</v>
      </c>
      <c r="AJ61" s="1166">
        <v>0</v>
      </c>
      <c r="AK61" s="1166">
        <v>2528403</v>
      </c>
      <c r="AL61" s="1166">
        <v>0</v>
      </c>
      <c r="AM61" s="1166">
        <v>0</v>
      </c>
      <c r="AN61" s="1166">
        <v>0</v>
      </c>
      <c r="AO61" s="1166">
        <v>0</v>
      </c>
      <c r="AP61" s="1166">
        <v>0</v>
      </c>
      <c r="AQ61" s="1166">
        <v>0</v>
      </c>
      <c r="AR61" s="1166">
        <v>1051485</v>
      </c>
      <c r="AS61" s="1166">
        <v>0</v>
      </c>
      <c r="AT61" s="1166">
        <v>0</v>
      </c>
      <c r="AU61" s="1166">
        <v>0</v>
      </c>
      <c r="AV61" s="1166">
        <v>1986621</v>
      </c>
      <c r="AW61" s="1166">
        <v>0</v>
      </c>
      <c r="AX61" s="1166">
        <v>0</v>
      </c>
      <c r="AY61" s="1166">
        <v>0</v>
      </c>
      <c r="AZ61" s="1166">
        <v>0</v>
      </c>
      <c r="BA61" s="1166">
        <v>405288</v>
      </c>
      <c r="BB61" s="1166">
        <v>0</v>
      </c>
      <c r="BC61" s="1166">
        <v>0</v>
      </c>
      <c r="BD61" s="1166">
        <v>0</v>
      </c>
      <c r="BE61" s="1166">
        <v>0</v>
      </c>
      <c r="BF61" s="1166">
        <v>2079992</v>
      </c>
      <c r="BG61" s="1166">
        <v>0</v>
      </c>
      <c r="BH61" s="1166">
        <v>0</v>
      </c>
      <c r="BI61" s="1166">
        <v>0</v>
      </c>
      <c r="BJ61" s="1166">
        <v>0</v>
      </c>
      <c r="BK61" s="1166">
        <v>0</v>
      </c>
      <c r="BL61" s="1166">
        <v>112950</v>
      </c>
      <c r="BM61" s="1166">
        <v>0</v>
      </c>
      <c r="BN61" s="1166">
        <v>0</v>
      </c>
      <c r="BO61" s="1166">
        <v>0</v>
      </c>
      <c r="BP61" s="1166">
        <v>0</v>
      </c>
      <c r="BQ61" s="1166">
        <v>0</v>
      </c>
      <c r="BR61" s="1166">
        <v>0</v>
      </c>
      <c r="BS61" s="1166">
        <v>0</v>
      </c>
      <c r="BT61" s="1166">
        <v>0</v>
      </c>
      <c r="BU61" s="1166">
        <v>0</v>
      </c>
      <c r="BV61" s="1166">
        <v>0</v>
      </c>
      <c r="BW61" s="1166">
        <v>0</v>
      </c>
      <c r="BX61" s="1166">
        <v>0</v>
      </c>
      <c r="BY61" s="1166">
        <v>0</v>
      </c>
      <c r="BZ61" s="1166">
        <v>0</v>
      </c>
      <c r="CA61" s="1166">
        <v>0</v>
      </c>
      <c r="CB61" s="1166">
        <v>0</v>
      </c>
    </row>
    <row r="62" spans="1:80" s="1173" customFormat="1" x14ac:dyDescent="0.3">
      <c r="A62" s="1161">
        <v>102</v>
      </c>
      <c r="B62" s="1162">
        <v>102</v>
      </c>
      <c r="C62" s="1163" t="s">
        <v>269</v>
      </c>
      <c r="D62" s="1154" t="s">
        <v>366</v>
      </c>
      <c r="E62" s="1169">
        <v>99.76</v>
      </c>
      <c r="F62" s="1170">
        <v>99.25</v>
      </c>
      <c r="G62" s="1170">
        <v>0</v>
      </c>
      <c r="H62" s="1170">
        <v>99.14</v>
      </c>
      <c r="I62" s="1170">
        <v>99.53</v>
      </c>
      <c r="J62" s="1170">
        <v>85.37</v>
      </c>
      <c r="K62" s="1170">
        <v>93.39</v>
      </c>
      <c r="L62" s="1171">
        <v>96.46</v>
      </c>
      <c r="M62" s="1171">
        <v>97.75</v>
      </c>
      <c r="N62" s="1171">
        <v>92.8</v>
      </c>
      <c r="O62" s="1171">
        <v>96.89</v>
      </c>
      <c r="P62" s="1171">
        <v>98.61</v>
      </c>
      <c r="Q62" s="1171">
        <v>99.53</v>
      </c>
      <c r="R62" s="1171">
        <v>99.37</v>
      </c>
      <c r="S62" s="1171">
        <v>98.34</v>
      </c>
      <c r="T62" s="1171">
        <v>99.32</v>
      </c>
      <c r="U62" s="1171">
        <v>0</v>
      </c>
      <c r="V62" s="1171">
        <v>97.31</v>
      </c>
      <c r="W62" s="1171">
        <v>93.44</v>
      </c>
      <c r="X62" s="1171">
        <v>99.26</v>
      </c>
      <c r="Y62" s="1171">
        <v>99.66</v>
      </c>
      <c r="Z62" s="1171">
        <v>99.51</v>
      </c>
      <c r="AA62" s="1171">
        <v>94.33</v>
      </c>
      <c r="AB62" s="1171">
        <v>98.7</v>
      </c>
      <c r="AC62" s="1171">
        <v>99.98</v>
      </c>
      <c r="AD62" s="1171">
        <v>98.13</v>
      </c>
      <c r="AE62" s="1171">
        <v>99.11</v>
      </c>
      <c r="AF62" s="1171">
        <v>96.69</v>
      </c>
      <c r="AG62" s="1171">
        <v>86.02</v>
      </c>
      <c r="AH62" s="1171">
        <v>93.72</v>
      </c>
      <c r="AI62" s="1171">
        <v>98.17</v>
      </c>
      <c r="AJ62" s="1171">
        <v>99.66</v>
      </c>
      <c r="AK62" s="1171">
        <v>93.97</v>
      </c>
      <c r="AL62" s="1171">
        <v>94.6</v>
      </c>
      <c r="AM62" s="1171">
        <v>89.97</v>
      </c>
      <c r="AN62" s="1171">
        <v>99.42</v>
      </c>
      <c r="AO62" s="1171">
        <v>95.84</v>
      </c>
      <c r="AP62" s="1171">
        <v>94.43</v>
      </c>
      <c r="AQ62" s="1171">
        <v>99.59</v>
      </c>
      <c r="AR62" s="1171">
        <v>96.82</v>
      </c>
      <c r="AS62" s="1171">
        <v>98.39</v>
      </c>
      <c r="AT62" s="1171">
        <v>95</v>
      </c>
      <c r="AU62" s="1171">
        <v>99.56</v>
      </c>
      <c r="AV62" s="1171">
        <v>98.24</v>
      </c>
      <c r="AW62" s="1171">
        <v>97.25</v>
      </c>
      <c r="AX62" s="1171">
        <v>93.41</v>
      </c>
      <c r="AY62" s="1171">
        <v>98.48</v>
      </c>
      <c r="AZ62" s="1171">
        <v>96.55</v>
      </c>
      <c r="BA62" s="1171">
        <v>97.64</v>
      </c>
      <c r="BB62" s="1171">
        <v>89.81</v>
      </c>
      <c r="BC62" s="1171">
        <v>98.83</v>
      </c>
      <c r="BD62" s="1171">
        <v>0</v>
      </c>
      <c r="BE62" s="1171">
        <v>96.56</v>
      </c>
      <c r="BF62" s="1171">
        <v>93.96</v>
      </c>
      <c r="BG62" s="1171">
        <v>0</v>
      </c>
      <c r="BH62" s="1171">
        <v>90.88</v>
      </c>
      <c r="BI62" s="1171">
        <v>99.05</v>
      </c>
      <c r="BJ62" s="1171">
        <v>97.3</v>
      </c>
      <c r="BK62" s="1171">
        <v>86.43</v>
      </c>
      <c r="BL62" s="1171">
        <v>99.75</v>
      </c>
      <c r="BM62" s="1171">
        <v>98.69</v>
      </c>
      <c r="BN62" s="1171">
        <v>0</v>
      </c>
      <c r="BO62" s="1171">
        <v>98.85</v>
      </c>
      <c r="BP62" s="1171">
        <v>96.74</v>
      </c>
      <c r="BQ62" s="1171">
        <v>96.88</v>
      </c>
      <c r="BR62" s="1171">
        <v>98.5</v>
      </c>
      <c r="BS62" s="1171">
        <v>99.56</v>
      </c>
      <c r="BT62" s="1171">
        <v>99.04</v>
      </c>
      <c r="BU62" s="1171">
        <v>83.82</v>
      </c>
      <c r="BV62" s="1171">
        <v>99.18</v>
      </c>
      <c r="BW62" s="1171">
        <v>94.07</v>
      </c>
      <c r="BX62" s="1171">
        <v>99.38</v>
      </c>
      <c r="BY62" s="1171">
        <v>95.03</v>
      </c>
      <c r="BZ62" s="1171">
        <v>97.44</v>
      </c>
      <c r="CA62" s="1171">
        <v>99.67</v>
      </c>
      <c r="CB62" s="1171">
        <v>88.75</v>
      </c>
    </row>
    <row r="63" spans="1:80" s="1173" customFormat="1" x14ac:dyDescent="0.3">
      <c r="A63" s="1161">
        <v>103</v>
      </c>
      <c r="B63" s="1162">
        <v>103</v>
      </c>
      <c r="C63" s="1163" t="s">
        <v>270</v>
      </c>
      <c r="D63" s="1154" t="s">
        <v>367</v>
      </c>
      <c r="E63" s="1169">
        <v>100</v>
      </c>
      <c r="F63" s="1170">
        <v>100</v>
      </c>
      <c r="G63" s="1170">
        <v>0</v>
      </c>
      <c r="H63" s="1170">
        <v>100</v>
      </c>
      <c r="I63" s="1170">
        <v>100</v>
      </c>
      <c r="J63" s="1170">
        <v>98.4</v>
      </c>
      <c r="K63" s="1170">
        <v>100</v>
      </c>
      <c r="L63" s="1171">
        <v>100</v>
      </c>
      <c r="M63" s="1171">
        <v>100</v>
      </c>
      <c r="N63" s="1171">
        <v>100</v>
      </c>
      <c r="O63" s="1171">
        <v>100</v>
      </c>
      <c r="P63" s="1171">
        <v>100</v>
      </c>
      <c r="Q63" s="1171">
        <v>100</v>
      </c>
      <c r="R63" s="1171">
        <v>100</v>
      </c>
      <c r="S63" s="1171">
        <v>100</v>
      </c>
      <c r="T63" s="1171">
        <v>100</v>
      </c>
      <c r="U63" s="1171">
        <v>0</v>
      </c>
      <c r="V63" s="1171">
        <v>100</v>
      </c>
      <c r="W63" s="1171">
        <v>100</v>
      </c>
      <c r="X63" s="1171">
        <v>100</v>
      </c>
      <c r="Y63" s="1171">
        <v>99.26</v>
      </c>
      <c r="Z63" s="1171">
        <v>100</v>
      </c>
      <c r="AA63" s="1171">
        <v>100</v>
      </c>
      <c r="AB63" s="1171">
        <v>100</v>
      </c>
      <c r="AC63" s="1171">
        <v>100</v>
      </c>
      <c r="AD63" s="1171">
        <v>100</v>
      </c>
      <c r="AE63" s="1171">
        <v>100</v>
      </c>
      <c r="AF63" s="1171">
        <v>100</v>
      </c>
      <c r="AG63" s="1171">
        <v>100</v>
      </c>
      <c r="AH63" s="1171">
        <v>100</v>
      </c>
      <c r="AI63" s="1171">
        <v>100</v>
      </c>
      <c r="AJ63" s="1171">
        <v>100</v>
      </c>
      <c r="AK63" s="1171">
        <v>100</v>
      </c>
      <c r="AL63" s="1171">
        <v>100</v>
      </c>
      <c r="AM63" s="1171">
        <v>100</v>
      </c>
      <c r="AN63" s="1171">
        <v>100</v>
      </c>
      <c r="AO63" s="1171">
        <v>100</v>
      </c>
      <c r="AP63" s="1171">
        <v>100</v>
      </c>
      <c r="AQ63" s="1171">
        <v>100</v>
      </c>
      <c r="AR63" s="1171">
        <v>100</v>
      </c>
      <c r="AS63" s="1171">
        <v>99.75</v>
      </c>
      <c r="AT63" s="1171">
        <v>100</v>
      </c>
      <c r="AU63" s="1171">
        <v>100</v>
      </c>
      <c r="AV63" s="1171">
        <v>100</v>
      </c>
      <c r="AW63" s="1171">
        <v>99.88</v>
      </c>
      <c r="AX63" s="1171">
        <v>100</v>
      </c>
      <c r="AY63" s="1171">
        <v>100</v>
      </c>
      <c r="AZ63" s="1171">
        <v>100</v>
      </c>
      <c r="BA63" s="1171">
        <v>100</v>
      </c>
      <c r="BB63" s="1171">
        <v>100</v>
      </c>
      <c r="BC63" s="1171">
        <v>100</v>
      </c>
      <c r="BD63" s="1171">
        <v>0</v>
      </c>
      <c r="BE63" s="1171">
        <v>100</v>
      </c>
      <c r="BF63" s="1171">
        <v>100</v>
      </c>
      <c r="BG63" s="1171">
        <v>0</v>
      </c>
      <c r="BH63" s="1171">
        <v>100</v>
      </c>
      <c r="BI63" s="1171">
        <v>100</v>
      </c>
      <c r="BJ63" s="1171">
        <v>98.79</v>
      </c>
      <c r="BK63" s="1171">
        <v>100</v>
      </c>
      <c r="BL63" s="1171">
        <v>100</v>
      </c>
      <c r="BM63" s="1171">
        <v>100</v>
      </c>
      <c r="BN63" s="1171">
        <v>0</v>
      </c>
      <c r="BO63" s="1171">
        <v>100</v>
      </c>
      <c r="BP63" s="1171">
        <v>100</v>
      </c>
      <c r="BQ63" s="1171">
        <v>100</v>
      </c>
      <c r="BR63" s="1171">
        <v>100</v>
      </c>
      <c r="BS63" s="1171">
        <v>100</v>
      </c>
      <c r="BT63" s="1171">
        <v>100</v>
      </c>
      <c r="BU63" s="1171">
        <v>99.17</v>
      </c>
      <c r="BV63" s="1171">
        <v>100</v>
      </c>
      <c r="BW63" s="1171">
        <v>100</v>
      </c>
      <c r="BX63" s="1171">
        <v>100</v>
      </c>
      <c r="BY63" s="1171">
        <v>100</v>
      </c>
      <c r="BZ63" s="1171">
        <v>100</v>
      </c>
      <c r="CA63" s="1171">
        <v>99.61</v>
      </c>
      <c r="CB63" s="1171">
        <v>100</v>
      </c>
    </row>
    <row r="64" spans="1:80" s="1156" customFormat="1" x14ac:dyDescent="0.3">
      <c r="A64" s="1154"/>
      <c r="B64" s="1162">
        <v>104</v>
      </c>
      <c r="C64" s="1151" t="s">
        <v>368</v>
      </c>
      <c r="D64" s="1154" t="s">
        <v>369</v>
      </c>
      <c r="E64" s="1164"/>
      <c r="F64" s="1165"/>
      <c r="G64" s="1165"/>
      <c r="H64" s="1165"/>
      <c r="I64" s="1165"/>
      <c r="J64" s="1165"/>
      <c r="K64" s="1165"/>
      <c r="L64" s="1166"/>
      <c r="M64" s="1166"/>
      <c r="N64" s="1166"/>
      <c r="O64" s="1166"/>
      <c r="P64" s="1166"/>
      <c r="Q64" s="1166"/>
      <c r="R64" s="1166"/>
      <c r="S64" s="1166"/>
      <c r="T64" s="1166"/>
      <c r="U64" s="1166"/>
      <c r="V64" s="1166"/>
      <c r="W64" s="1166"/>
      <c r="X64" s="1166"/>
      <c r="Y64" s="1166"/>
      <c r="Z64" s="1166"/>
      <c r="AA64" s="1166"/>
      <c r="AB64" s="1166"/>
      <c r="AC64" s="1166"/>
      <c r="AD64" s="1166"/>
      <c r="AE64" s="1166"/>
      <c r="AF64" s="1166"/>
      <c r="AG64" s="1166"/>
      <c r="AH64" s="1166"/>
      <c r="AI64" s="1166"/>
      <c r="AJ64" s="1166"/>
      <c r="AK64" s="1166"/>
      <c r="AL64" s="1166"/>
      <c r="AM64" s="1166"/>
      <c r="AN64" s="1166"/>
      <c r="AO64" s="1166"/>
      <c r="AP64" s="1166"/>
      <c r="AQ64" s="1166"/>
      <c r="AR64" s="1166"/>
      <c r="AS64" s="1166"/>
      <c r="AT64" s="1166"/>
      <c r="AU64" s="1166"/>
      <c r="AV64" s="1166"/>
      <c r="AW64" s="1166"/>
      <c r="AX64" s="1166"/>
      <c r="AY64" s="1166"/>
      <c r="AZ64" s="1166"/>
      <c r="BA64" s="1166"/>
      <c r="BB64" s="1166"/>
      <c r="BC64" s="1166"/>
      <c r="BD64" s="1166"/>
      <c r="BE64" s="1166"/>
      <c r="BF64" s="1166"/>
      <c r="BG64" s="1166"/>
      <c r="BH64" s="1166"/>
      <c r="BI64" s="1166"/>
      <c r="BJ64" s="1166"/>
      <c r="BK64" s="1166"/>
      <c r="BL64" s="1166"/>
      <c r="BM64" s="1166"/>
      <c r="BN64" s="1166"/>
      <c r="BO64" s="1166"/>
      <c r="BP64" s="1166"/>
      <c r="BQ64" s="1166"/>
      <c r="BR64" s="1166"/>
      <c r="BS64" s="1166"/>
      <c r="BT64" s="1166"/>
      <c r="BU64" s="1166"/>
      <c r="BV64" s="1166"/>
      <c r="BW64" s="1166"/>
      <c r="BX64" s="1166"/>
      <c r="BY64" s="1166"/>
      <c r="BZ64" s="1166"/>
      <c r="CA64" s="1166"/>
      <c r="CB64" s="1166"/>
    </row>
    <row r="65" spans="1:80" s="1156" customFormat="1" x14ac:dyDescent="0.3">
      <c r="A65" s="1154"/>
      <c r="B65" s="1162">
        <v>107</v>
      </c>
      <c r="C65" s="1151" t="s">
        <v>633</v>
      </c>
      <c r="D65" s="1154" t="s">
        <v>370</v>
      </c>
      <c r="E65" s="1164"/>
      <c r="F65" s="1165"/>
      <c r="G65" s="1165"/>
      <c r="H65" s="1165"/>
      <c r="I65" s="1165"/>
      <c r="J65" s="1165"/>
      <c r="K65" s="1165"/>
      <c r="L65" s="1166"/>
      <c r="M65" s="1166"/>
      <c r="N65" s="1166"/>
      <c r="O65" s="1166"/>
      <c r="P65" s="1166"/>
      <c r="Q65" s="1166"/>
      <c r="R65" s="1166"/>
      <c r="S65" s="1166"/>
      <c r="T65" s="1166"/>
      <c r="U65" s="1166"/>
      <c r="V65" s="1166"/>
      <c r="W65" s="1166"/>
      <c r="X65" s="1166"/>
      <c r="Y65" s="1166"/>
      <c r="Z65" s="1166"/>
      <c r="AA65" s="1166"/>
      <c r="AB65" s="1166"/>
      <c r="AC65" s="1166"/>
      <c r="AD65" s="1166"/>
      <c r="AE65" s="1166"/>
      <c r="AF65" s="1166"/>
      <c r="AG65" s="1166"/>
      <c r="AH65" s="1166"/>
      <c r="AI65" s="1166"/>
      <c r="AJ65" s="1166"/>
      <c r="AK65" s="1166"/>
      <c r="AL65" s="1166"/>
      <c r="AM65" s="1166"/>
      <c r="AN65" s="1166"/>
      <c r="AO65" s="1166"/>
      <c r="AP65" s="1166"/>
      <c r="AQ65" s="1166"/>
      <c r="AR65" s="1166"/>
      <c r="AS65" s="1166"/>
      <c r="AT65" s="1166"/>
      <c r="AU65" s="1166"/>
      <c r="AV65" s="1166"/>
      <c r="AW65" s="1166"/>
      <c r="AX65" s="1166"/>
      <c r="AY65" s="1166"/>
      <c r="AZ65" s="1166"/>
      <c r="BA65" s="1166"/>
      <c r="BB65" s="1166"/>
      <c r="BC65" s="1166"/>
      <c r="BD65" s="1166"/>
      <c r="BE65" s="1166"/>
      <c r="BF65" s="1166"/>
      <c r="BG65" s="1166"/>
      <c r="BH65" s="1166"/>
      <c r="BI65" s="1166"/>
      <c r="BJ65" s="1166"/>
      <c r="BK65" s="1166"/>
      <c r="BL65" s="1166"/>
      <c r="BM65" s="1166"/>
      <c r="BN65" s="1166"/>
      <c r="BO65" s="1166"/>
      <c r="BP65" s="1166"/>
      <c r="BQ65" s="1166"/>
      <c r="BR65" s="1166"/>
      <c r="BS65" s="1166"/>
      <c r="BT65" s="1166"/>
      <c r="BU65" s="1166"/>
      <c r="BV65" s="1166"/>
      <c r="BW65" s="1166"/>
      <c r="BX65" s="1166"/>
      <c r="BY65" s="1166"/>
      <c r="BZ65" s="1166"/>
      <c r="CA65" s="1166"/>
      <c r="CB65" s="1166"/>
    </row>
    <row r="66" spans="1:80" s="1156" customFormat="1" ht="27.6" x14ac:dyDescent="0.3">
      <c r="A66" s="1154"/>
      <c r="B66" s="1162">
        <v>108</v>
      </c>
      <c r="C66" s="1151" t="s">
        <v>634</v>
      </c>
      <c r="D66" s="1154" t="s">
        <v>371</v>
      </c>
      <c r="E66" s="1164"/>
      <c r="F66" s="1165"/>
      <c r="G66" s="1165"/>
      <c r="H66" s="1165"/>
      <c r="I66" s="1165"/>
      <c r="J66" s="1165"/>
      <c r="K66" s="1165"/>
      <c r="L66" s="1166"/>
      <c r="M66" s="1166"/>
      <c r="N66" s="1166"/>
      <c r="O66" s="1166"/>
      <c r="P66" s="1166"/>
      <c r="Q66" s="1166"/>
      <c r="R66" s="1166"/>
      <c r="S66" s="1166"/>
      <c r="T66" s="1166"/>
      <c r="U66" s="1166"/>
      <c r="V66" s="1166"/>
      <c r="W66" s="1166"/>
      <c r="X66" s="1166"/>
      <c r="Y66" s="1166"/>
      <c r="Z66" s="1166"/>
      <c r="AA66" s="1166"/>
      <c r="AB66" s="1166"/>
      <c r="AC66" s="1166"/>
      <c r="AD66" s="1166"/>
      <c r="AE66" s="1166"/>
      <c r="AF66" s="1166"/>
      <c r="AG66" s="1166"/>
      <c r="AH66" s="1166"/>
      <c r="AI66" s="1166"/>
      <c r="AJ66" s="1166"/>
      <c r="AK66" s="1166"/>
      <c r="AL66" s="1166"/>
      <c r="AM66" s="1166"/>
      <c r="AN66" s="1166"/>
      <c r="AO66" s="1166"/>
      <c r="AP66" s="1166"/>
      <c r="AQ66" s="1166"/>
      <c r="AR66" s="1166"/>
      <c r="AS66" s="1166"/>
      <c r="AT66" s="1166"/>
      <c r="AU66" s="1166"/>
      <c r="AV66" s="1166"/>
      <c r="AW66" s="1166"/>
      <c r="AX66" s="1166"/>
      <c r="AY66" s="1166"/>
      <c r="AZ66" s="1166"/>
      <c r="BA66" s="1166"/>
      <c r="BB66" s="1166"/>
      <c r="BC66" s="1166"/>
      <c r="BD66" s="1166"/>
      <c r="BE66" s="1166"/>
      <c r="BF66" s="1166"/>
      <c r="BG66" s="1166"/>
      <c r="BH66" s="1166"/>
      <c r="BI66" s="1166"/>
      <c r="BJ66" s="1166"/>
      <c r="BK66" s="1166"/>
      <c r="BL66" s="1166"/>
      <c r="BM66" s="1166"/>
      <c r="BN66" s="1166"/>
      <c r="BO66" s="1166"/>
      <c r="BP66" s="1166"/>
      <c r="BQ66" s="1166"/>
      <c r="BR66" s="1166"/>
      <c r="BS66" s="1166"/>
      <c r="BT66" s="1166"/>
      <c r="BU66" s="1166"/>
      <c r="BV66" s="1166"/>
      <c r="BW66" s="1166"/>
      <c r="BX66" s="1166"/>
      <c r="BY66" s="1166"/>
      <c r="BZ66" s="1166"/>
      <c r="CA66" s="1166"/>
      <c r="CB66" s="1166"/>
    </row>
    <row r="67" spans="1:80" s="1156" customFormat="1" x14ac:dyDescent="0.3">
      <c r="A67" s="1154"/>
      <c r="B67" s="1162">
        <v>147</v>
      </c>
      <c r="C67" s="1151" t="s">
        <v>372</v>
      </c>
      <c r="D67" s="1154" t="s">
        <v>373</v>
      </c>
      <c r="E67" s="1164"/>
      <c r="F67" s="1165"/>
      <c r="G67" s="1165"/>
      <c r="H67" s="1165"/>
      <c r="I67" s="1165"/>
      <c r="J67" s="1165"/>
      <c r="K67" s="1165"/>
      <c r="L67" s="1166"/>
      <c r="M67" s="1166"/>
      <c r="N67" s="1166"/>
      <c r="O67" s="1166"/>
      <c r="P67" s="1166"/>
      <c r="Q67" s="1166"/>
      <c r="R67" s="1166"/>
      <c r="S67" s="1166"/>
      <c r="T67" s="1166"/>
      <c r="U67" s="1166"/>
      <c r="V67" s="1166"/>
      <c r="W67" s="1166"/>
      <c r="X67" s="1166"/>
      <c r="Y67" s="1166"/>
      <c r="Z67" s="1166"/>
      <c r="AA67" s="1166"/>
      <c r="AB67" s="1166"/>
      <c r="AC67" s="1166"/>
      <c r="AD67" s="1166"/>
      <c r="AE67" s="1166"/>
      <c r="AF67" s="1166"/>
      <c r="AG67" s="1166"/>
      <c r="AH67" s="1166"/>
      <c r="AI67" s="1166"/>
      <c r="AJ67" s="1166"/>
      <c r="AK67" s="1166"/>
      <c r="AL67" s="1166"/>
      <c r="AM67" s="1166"/>
      <c r="AN67" s="1166"/>
      <c r="AO67" s="1166"/>
      <c r="AP67" s="1166"/>
      <c r="AQ67" s="1166"/>
      <c r="AR67" s="1166"/>
      <c r="AS67" s="1166"/>
      <c r="AT67" s="1166"/>
      <c r="AU67" s="1166"/>
      <c r="AV67" s="1166"/>
      <c r="AW67" s="1166"/>
      <c r="AX67" s="1166"/>
      <c r="AY67" s="1166"/>
      <c r="AZ67" s="1166"/>
      <c r="BA67" s="1166"/>
      <c r="BB67" s="1166"/>
      <c r="BC67" s="1166"/>
      <c r="BD67" s="1166"/>
      <c r="BE67" s="1166"/>
      <c r="BF67" s="1166"/>
      <c r="BG67" s="1166"/>
      <c r="BH67" s="1166"/>
      <c r="BI67" s="1166"/>
      <c r="BJ67" s="1166"/>
      <c r="BK67" s="1166"/>
      <c r="BL67" s="1166"/>
      <c r="BM67" s="1166"/>
      <c r="BN67" s="1166"/>
      <c r="BO67" s="1166"/>
      <c r="BP67" s="1166"/>
      <c r="BQ67" s="1166"/>
      <c r="BR67" s="1166"/>
      <c r="BS67" s="1166"/>
      <c r="BT67" s="1166"/>
      <c r="BU67" s="1166"/>
      <c r="BV67" s="1166"/>
      <c r="BW67" s="1166"/>
      <c r="BX67" s="1166"/>
      <c r="BY67" s="1166"/>
      <c r="BZ67" s="1166"/>
      <c r="CA67" s="1166"/>
      <c r="CB67" s="1166"/>
    </row>
    <row r="68" spans="1:80" s="1156" customFormat="1" x14ac:dyDescent="0.3">
      <c r="A68" s="1154"/>
      <c r="B68" s="1162">
        <v>148</v>
      </c>
      <c r="C68" s="1151" t="s">
        <v>374</v>
      </c>
      <c r="D68" s="1154" t="s">
        <v>375</v>
      </c>
      <c r="E68" s="1164"/>
      <c r="F68" s="1165"/>
      <c r="G68" s="1165"/>
      <c r="H68" s="1165"/>
      <c r="I68" s="1165"/>
      <c r="J68" s="1165"/>
      <c r="K68" s="1165"/>
      <c r="L68" s="1166"/>
      <c r="M68" s="1166"/>
      <c r="N68" s="1166"/>
      <c r="O68" s="1166"/>
      <c r="P68" s="1166"/>
      <c r="Q68" s="1166"/>
      <c r="R68" s="1166"/>
      <c r="S68" s="1166"/>
      <c r="T68" s="1166"/>
      <c r="U68" s="1166"/>
      <c r="V68" s="1166"/>
      <c r="W68" s="1166"/>
      <c r="X68" s="1166"/>
      <c r="Y68" s="1166"/>
      <c r="Z68" s="1166"/>
      <c r="AA68" s="1166"/>
      <c r="AB68" s="1166"/>
      <c r="AC68" s="1166"/>
      <c r="AD68" s="1166"/>
      <c r="AE68" s="1166"/>
      <c r="AF68" s="1166"/>
      <c r="AG68" s="1166"/>
      <c r="AH68" s="1166"/>
      <c r="AI68" s="1166"/>
      <c r="AJ68" s="1166"/>
      <c r="AK68" s="1166"/>
      <c r="AL68" s="1166"/>
      <c r="AM68" s="1166"/>
      <c r="AN68" s="1166"/>
      <c r="AO68" s="1166"/>
      <c r="AP68" s="1166"/>
      <c r="AQ68" s="1166"/>
      <c r="AR68" s="1166"/>
      <c r="AS68" s="1166"/>
      <c r="AT68" s="1166"/>
      <c r="AU68" s="1166"/>
      <c r="AV68" s="1166"/>
      <c r="AW68" s="1166"/>
      <c r="AX68" s="1166"/>
      <c r="AY68" s="1166"/>
      <c r="AZ68" s="1166"/>
      <c r="BA68" s="1166"/>
      <c r="BB68" s="1166"/>
      <c r="BC68" s="1166"/>
      <c r="BD68" s="1166"/>
      <c r="BE68" s="1166"/>
      <c r="BF68" s="1166"/>
      <c r="BG68" s="1166"/>
      <c r="BH68" s="1166"/>
      <c r="BI68" s="1166"/>
      <c r="BJ68" s="1166"/>
      <c r="BK68" s="1166"/>
      <c r="BL68" s="1166"/>
      <c r="BM68" s="1166"/>
      <c r="BN68" s="1166"/>
      <c r="BO68" s="1166"/>
      <c r="BP68" s="1166"/>
      <c r="BQ68" s="1166"/>
      <c r="BR68" s="1166"/>
      <c r="BS68" s="1166"/>
      <c r="BT68" s="1166"/>
      <c r="BU68" s="1166"/>
      <c r="BV68" s="1166"/>
      <c r="BW68" s="1166"/>
      <c r="BX68" s="1166"/>
      <c r="BY68" s="1166"/>
      <c r="BZ68" s="1166"/>
      <c r="CA68" s="1166"/>
      <c r="CB68" s="1166"/>
    </row>
    <row r="69" spans="1:80" s="1156" customFormat="1" x14ac:dyDescent="0.3">
      <c r="A69" s="1154"/>
      <c r="B69" s="1162">
        <v>149</v>
      </c>
      <c r="C69" s="1151" t="s">
        <v>376</v>
      </c>
      <c r="D69" s="1154" t="s">
        <v>377</v>
      </c>
      <c r="E69" s="1164"/>
      <c r="F69" s="1165"/>
      <c r="G69" s="1165"/>
      <c r="H69" s="1165"/>
      <c r="I69" s="1165"/>
      <c r="J69" s="1165"/>
      <c r="K69" s="1165"/>
      <c r="L69" s="1166"/>
      <c r="M69" s="1166"/>
      <c r="N69" s="1166"/>
      <c r="O69" s="1166"/>
      <c r="P69" s="1166"/>
      <c r="Q69" s="1166"/>
      <c r="R69" s="1166"/>
      <c r="S69" s="1166"/>
      <c r="T69" s="1166"/>
      <c r="U69" s="1166"/>
      <c r="V69" s="1166"/>
      <c r="W69" s="1166"/>
      <c r="X69" s="1166"/>
      <c r="Y69" s="1166"/>
      <c r="Z69" s="1166"/>
      <c r="AA69" s="1166"/>
      <c r="AB69" s="1166"/>
      <c r="AC69" s="1166"/>
      <c r="AD69" s="1166"/>
      <c r="AE69" s="1166"/>
      <c r="AF69" s="1166"/>
      <c r="AG69" s="1166"/>
      <c r="AH69" s="1166"/>
      <c r="AI69" s="1166"/>
      <c r="AJ69" s="1166"/>
      <c r="AK69" s="1166"/>
      <c r="AL69" s="1166"/>
      <c r="AM69" s="1166"/>
      <c r="AN69" s="1166"/>
      <c r="AO69" s="1166"/>
      <c r="AP69" s="1166"/>
      <c r="AQ69" s="1166"/>
      <c r="AR69" s="1166"/>
      <c r="AS69" s="1166"/>
      <c r="AT69" s="1166"/>
      <c r="AU69" s="1166"/>
      <c r="AV69" s="1166"/>
      <c r="AW69" s="1166"/>
      <c r="AX69" s="1166"/>
      <c r="AY69" s="1166"/>
      <c r="AZ69" s="1166"/>
      <c r="BA69" s="1166"/>
      <c r="BB69" s="1166"/>
      <c r="BC69" s="1166"/>
      <c r="BD69" s="1166"/>
      <c r="BE69" s="1166"/>
      <c r="BF69" s="1166"/>
      <c r="BG69" s="1166"/>
      <c r="BH69" s="1166"/>
      <c r="BI69" s="1166"/>
      <c r="BJ69" s="1166"/>
      <c r="BK69" s="1166"/>
      <c r="BL69" s="1166"/>
      <c r="BM69" s="1166"/>
      <c r="BN69" s="1166"/>
      <c r="BO69" s="1166"/>
      <c r="BP69" s="1166"/>
      <c r="BQ69" s="1166"/>
      <c r="BR69" s="1166"/>
      <c r="BS69" s="1166"/>
      <c r="BT69" s="1166"/>
      <c r="BU69" s="1166"/>
      <c r="BV69" s="1166"/>
      <c r="BW69" s="1166"/>
      <c r="BX69" s="1166"/>
      <c r="BY69" s="1166"/>
      <c r="BZ69" s="1166"/>
      <c r="CA69" s="1166"/>
      <c r="CB69" s="1166"/>
    </row>
    <row r="70" spans="1:80" s="1156" customFormat="1" ht="27.6" x14ac:dyDescent="0.3">
      <c r="A70" s="1154"/>
      <c r="B70" s="1162">
        <v>150</v>
      </c>
      <c r="C70" s="1151" t="s">
        <v>378</v>
      </c>
      <c r="D70" s="1154" t="s">
        <v>379</v>
      </c>
      <c r="E70" s="1164"/>
      <c r="F70" s="1165"/>
      <c r="G70" s="1165"/>
      <c r="H70" s="1165"/>
      <c r="I70" s="1165"/>
      <c r="J70" s="1165"/>
      <c r="K70" s="1165"/>
      <c r="L70" s="1166"/>
      <c r="M70" s="1166"/>
      <c r="N70" s="1166"/>
      <c r="O70" s="1166"/>
      <c r="P70" s="1166"/>
      <c r="Q70" s="1166"/>
      <c r="R70" s="1166"/>
      <c r="S70" s="1166"/>
      <c r="T70" s="1166"/>
      <c r="U70" s="1166"/>
      <c r="V70" s="1166"/>
      <c r="W70" s="1166"/>
      <c r="X70" s="1166"/>
      <c r="Y70" s="1166"/>
      <c r="Z70" s="1166"/>
      <c r="AA70" s="1166"/>
      <c r="AB70" s="1166"/>
      <c r="AC70" s="1166"/>
      <c r="AD70" s="1166"/>
      <c r="AE70" s="1166"/>
      <c r="AF70" s="1166"/>
      <c r="AG70" s="1166"/>
      <c r="AH70" s="1166"/>
      <c r="AI70" s="1166"/>
      <c r="AJ70" s="1166"/>
      <c r="AK70" s="1166"/>
      <c r="AL70" s="1166"/>
      <c r="AM70" s="1166"/>
      <c r="AN70" s="1166"/>
      <c r="AO70" s="1166"/>
      <c r="AP70" s="1166"/>
      <c r="AQ70" s="1166"/>
      <c r="AR70" s="1166"/>
      <c r="AS70" s="1166"/>
      <c r="AT70" s="1166"/>
      <c r="AU70" s="1166"/>
      <c r="AV70" s="1166"/>
      <c r="AW70" s="1166"/>
      <c r="AX70" s="1166"/>
      <c r="AY70" s="1166"/>
      <c r="AZ70" s="1166"/>
      <c r="BA70" s="1166"/>
      <c r="BB70" s="1166"/>
      <c r="BC70" s="1166"/>
      <c r="BD70" s="1166"/>
      <c r="BE70" s="1166"/>
      <c r="BF70" s="1166"/>
      <c r="BG70" s="1166"/>
      <c r="BH70" s="1166"/>
      <c r="BI70" s="1166"/>
      <c r="BJ70" s="1166"/>
      <c r="BK70" s="1166"/>
      <c r="BL70" s="1166"/>
      <c r="BM70" s="1166"/>
      <c r="BN70" s="1166"/>
      <c r="BO70" s="1166"/>
      <c r="BP70" s="1166"/>
      <c r="BQ70" s="1166"/>
      <c r="BR70" s="1166"/>
      <c r="BS70" s="1166"/>
      <c r="BT70" s="1166"/>
      <c r="BU70" s="1166"/>
      <c r="BV70" s="1166"/>
      <c r="BW70" s="1166"/>
      <c r="BX70" s="1166"/>
      <c r="BY70" s="1166"/>
      <c r="BZ70" s="1166"/>
      <c r="CA70" s="1166"/>
      <c r="CB70" s="1166"/>
    </row>
    <row r="71" spans="1:80" s="1156" customFormat="1" x14ac:dyDescent="0.3">
      <c r="A71" s="1161">
        <v>171</v>
      </c>
      <c r="B71" s="1162">
        <v>171</v>
      </c>
      <c r="C71" s="1163" t="s">
        <v>217</v>
      </c>
      <c r="D71" s="1154" t="s">
        <v>380</v>
      </c>
      <c r="E71" s="1164">
        <v>32935</v>
      </c>
      <c r="F71" s="1165">
        <v>1760887</v>
      </c>
      <c r="G71" s="1165">
        <v>0</v>
      </c>
      <c r="H71" s="1165">
        <v>3601961</v>
      </c>
      <c r="I71" s="1165">
        <v>170211</v>
      </c>
      <c r="J71" s="1165">
        <v>0</v>
      </c>
      <c r="K71" s="1165">
        <v>0</v>
      </c>
      <c r="L71" s="1166">
        <v>84808</v>
      </c>
      <c r="M71" s="1166">
        <v>29510050</v>
      </c>
      <c r="N71" s="1166">
        <v>0</v>
      </c>
      <c r="O71" s="1166">
        <v>10970</v>
      </c>
      <c r="P71" s="1166">
        <v>67078</v>
      </c>
      <c r="Q71" s="1166">
        <v>4367887</v>
      </c>
      <c r="R71" s="1166">
        <v>3300289</v>
      </c>
      <c r="S71" s="1166">
        <v>487455</v>
      </c>
      <c r="T71" s="1166">
        <v>679492</v>
      </c>
      <c r="U71" s="1166">
        <v>0</v>
      </c>
      <c r="V71" s="1166">
        <v>1233587</v>
      </c>
      <c r="W71" s="1166">
        <v>0</v>
      </c>
      <c r="X71" s="1166">
        <v>2094791</v>
      </c>
      <c r="Y71" s="1166">
        <v>0</v>
      </c>
      <c r="Z71" s="1166">
        <v>840830</v>
      </c>
      <c r="AA71" s="1166">
        <v>60941</v>
      </c>
      <c r="AB71" s="1166">
        <v>1011469</v>
      </c>
      <c r="AC71" s="1166">
        <v>0</v>
      </c>
      <c r="AD71" s="1166">
        <v>0</v>
      </c>
      <c r="AE71" s="1166">
        <v>0</v>
      </c>
      <c r="AF71" s="1166">
        <v>497888</v>
      </c>
      <c r="AG71" s="1166">
        <v>5655</v>
      </c>
      <c r="AH71" s="1166">
        <v>0</v>
      </c>
      <c r="AI71" s="1166">
        <v>0</v>
      </c>
      <c r="AJ71" s="1166">
        <v>0</v>
      </c>
      <c r="AK71" s="1166">
        <v>592616</v>
      </c>
      <c r="AL71" s="1166">
        <v>0</v>
      </c>
      <c r="AM71" s="1166">
        <v>0</v>
      </c>
      <c r="AN71" s="1166">
        <v>1674302</v>
      </c>
      <c r="AO71" s="1166">
        <v>484601</v>
      </c>
      <c r="AP71" s="1166">
        <v>0</v>
      </c>
      <c r="AQ71" s="1166">
        <v>202379</v>
      </c>
      <c r="AR71" s="1166">
        <v>1043100</v>
      </c>
      <c r="AS71" s="1166">
        <v>47611</v>
      </c>
      <c r="AT71" s="1166">
        <v>95440</v>
      </c>
      <c r="AU71" s="1166">
        <v>313561</v>
      </c>
      <c r="AV71" s="1166">
        <v>79398</v>
      </c>
      <c r="AW71" s="1166">
        <v>0</v>
      </c>
      <c r="AX71" s="1166">
        <v>3514</v>
      </c>
      <c r="AY71" s="1166">
        <v>223692</v>
      </c>
      <c r="AZ71" s="1166">
        <v>88346</v>
      </c>
      <c r="BA71" s="1166">
        <v>167605</v>
      </c>
      <c r="BB71" s="1166">
        <v>0</v>
      </c>
      <c r="BC71" s="1166">
        <v>60429</v>
      </c>
      <c r="BD71" s="1166">
        <v>0</v>
      </c>
      <c r="BE71" s="1166">
        <v>0</v>
      </c>
      <c r="BF71" s="1166">
        <v>1539320</v>
      </c>
      <c r="BG71" s="1166">
        <v>0</v>
      </c>
      <c r="BH71" s="1166">
        <v>0</v>
      </c>
      <c r="BI71" s="1166">
        <v>23467</v>
      </c>
      <c r="BJ71" s="1166">
        <v>61184</v>
      </c>
      <c r="BK71" s="1166">
        <v>25293</v>
      </c>
      <c r="BL71" s="1166">
        <v>297196</v>
      </c>
      <c r="BM71" s="1166">
        <v>0</v>
      </c>
      <c r="BN71" s="1166">
        <v>0</v>
      </c>
      <c r="BO71" s="1166">
        <v>220529</v>
      </c>
      <c r="BP71" s="1166">
        <v>0</v>
      </c>
      <c r="BQ71" s="1166">
        <v>12288</v>
      </c>
      <c r="BR71" s="1166">
        <v>0</v>
      </c>
      <c r="BS71" s="1166">
        <v>0</v>
      </c>
      <c r="BT71" s="1166">
        <v>1268956</v>
      </c>
      <c r="BU71" s="1166">
        <v>59295</v>
      </c>
      <c r="BV71" s="1166">
        <v>76999</v>
      </c>
      <c r="BW71" s="1166">
        <v>82104</v>
      </c>
      <c r="BX71" s="1166">
        <v>0</v>
      </c>
      <c r="BY71" s="1166">
        <v>0</v>
      </c>
      <c r="BZ71" s="1166">
        <v>0</v>
      </c>
      <c r="CA71" s="1166">
        <v>1536937</v>
      </c>
      <c r="CB71" s="1166">
        <v>4956</v>
      </c>
    </row>
    <row r="72" spans="1:80" s="1156" customFormat="1" x14ac:dyDescent="0.3">
      <c r="A72" s="1161">
        <v>191</v>
      </c>
      <c r="B72" s="1162">
        <v>191</v>
      </c>
      <c r="C72" s="1163" t="s">
        <v>233</v>
      </c>
      <c r="D72" s="1154" t="s">
        <v>381</v>
      </c>
      <c r="E72" s="1164">
        <v>0</v>
      </c>
      <c r="F72" s="1165">
        <v>0</v>
      </c>
      <c r="G72" s="1165">
        <v>0</v>
      </c>
      <c r="H72" s="1165">
        <v>0</v>
      </c>
      <c r="I72" s="1165">
        <v>55300</v>
      </c>
      <c r="J72" s="1165">
        <v>0</v>
      </c>
      <c r="K72" s="1165">
        <v>0</v>
      </c>
      <c r="L72" s="1166">
        <v>197007</v>
      </c>
      <c r="M72" s="1166">
        <v>2635020</v>
      </c>
      <c r="N72" s="1166">
        <v>0</v>
      </c>
      <c r="O72" s="1166">
        <v>0</v>
      </c>
      <c r="P72" s="1166">
        <v>0</v>
      </c>
      <c r="Q72" s="1166">
        <v>0</v>
      </c>
      <c r="R72" s="1166">
        <v>0</v>
      </c>
      <c r="S72" s="1166">
        <v>0</v>
      </c>
      <c r="T72" s="1166">
        <v>14657</v>
      </c>
      <c r="U72" s="1166">
        <v>0</v>
      </c>
      <c r="V72" s="1166">
        <v>0</v>
      </c>
      <c r="W72" s="1166">
        <v>0</v>
      </c>
      <c r="X72" s="1166">
        <v>0</v>
      </c>
      <c r="Y72" s="1166">
        <v>0</v>
      </c>
      <c r="Z72" s="1166">
        <v>0</v>
      </c>
      <c r="AA72" s="1166">
        <v>0</v>
      </c>
      <c r="AB72" s="1166">
        <v>0</v>
      </c>
      <c r="AC72" s="1166">
        <v>0</v>
      </c>
      <c r="AD72" s="1166">
        <v>0</v>
      </c>
      <c r="AE72" s="1166">
        <v>0</v>
      </c>
      <c r="AF72" s="1166">
        <v>0</v>
      </c>
      <c r="AG72" s="1166">
        <v>0</v>
      </c>
      <c r="AH72" s="1166">
        <v>0</v>
      </c>
      <c r="AI72" s="1166">
        <v>0</v>
      </c>
      <c r="AJ72" s="1166">
        <v>0</v>
      </c>
      <c r="AK72" s="1166">
        <v>1196477</v>
      </c>
      <c r="AL72" s="1166">
        <v>0</v>
      </c>
      <c r="AM72" s="1166">
        <v>0</v>
      </c>
      <c r="AN72" s="1166">
        <v>160959</v>
      </c>
      <c r="AO72" s="1166">
        <v>129630</v>
      </c>
      <c r="AP72" s="1166">
        <v>699008</v>
      </c>
      <c r="AQ72" s="1166">
        <v>0</v>
      </c>
      <c r="AR72" s="1166">
        <v>0</v>
      </c>
      <c r="AS72" s="1166">
        <v>201341</v>
      </c>
      <c r="AT72" s="1166">
        <v>0</v>
      </c>
      <c r="AU72" s="1166">
        <v>0</v>
      </c>
      <c r="AV72" s="1166">
        <v>0</v>
      </c>
      <c r="AW72" s="1166">
        <v>0</v>
      </c>
      <c r="AX72" s="1166">
        <v>0</v>
      </c>
      <c r="AY72" s="1166">
        <v>0</v>
      </c>
      <c r="AZ72" s="1166">
        <v>0</v>
      </c>
      <c r="BA72" s="1166">
        <v>274278</v>
      </c>
      <c r="BB72" s="1166">
        <v>75114</v>
      </c>
      <c r="BC72" s="1166">
        <v>46795</v>
      </c>
      <c r="BD72" s="1166">
        <v>0</v>
      </c>
      <c r="BE72" s="1166">
        <v>0</v>
      </c>
      <c r="BF72" s="1166">
        <v>0</v>
      </c>
      <c r="BG72" s="1166">
        <v>0</v>
      </c>
      <c r="BH72" s="1166">
        <v>0</v>
      </c>
      <c r="BI72" s="1166">
        <v>207600</v>
      </c>
      <c r="BJ72" s="1166">
        <v>0</v>
      </c>
      <c r="BK72" s="1166">
        <v>0</v>
      </c>
      <c r="BL72" s="1166">
        <v>10149</v>
      </c>
      <c r="BM72" s="1166">
        <v>0</v>
      </c>
      <c r="BN72" s="1166">
        <v>0</v>
      </c>
      <c r="BO72" s="1166">
        <v>12317</v>
      </c>
      <c r="BP72" s="1166">
        <v>165124</v>
      </c>
      <c r="BQ72" s="1166">
        <v>0</v>
      </c>
      <c r="BR72" s="1166">
        <v>0</v>
      </c>
      <c r="BS72" s="1166">
        <v>0</v>
      </c>
      <c r="BT72" s="1166">
        <v>0</v>
      </c>
      <c r="BU72" s="1166">
        <v>71976</v>
      </c>
      <c r="BV72" s="1166">
        <v>0</v>
      </c>
      <c r="BW72" s="1166">
        <v>806402</v>
      </c>
      <c r="BX72" s="1166">
        <v>13400</v>
      </c>
      <c r="BY72" s="1166">
        <v>0</v>
      </c>
      <c r="BZ72" s="1166">
        <v>0</v>
      </c>
      <c r="CA72" s="1166">
        <v>5400880</v>
      </c>
      <c r="CB72" s="1166">
        <v>0</v>
      </c>
    </row>
    <row r="73" spans="1:80" s="1156" customFormat="1" x14ac:dyDescent="0.3">
      <c r="A73" s="1161">
        <v>192</v>
      </c>
      <c r="B73" s="1162">
        <v>192</v>
      </c>
      <c r="C73" s="1163" t="s">
        <v>244</v>
      </c>
      <c r="D73" s="1154" t="s">
        <v>382</v>
      </c>
      <c r="E73" s="1164">
        <v>0</v>
      </c>
      <c r="F73" s="1165">
        <v>0</v>
      </c>
      <c r="G73" s="1165">
        <v>0</v>
      </c>
      <c r="H73" s="1165">
        <v>0</v>
      </c>
      <c r="I73" s="1165">
        <v>0</v>
      </c>
      <c r="J73" s="1165">
        <v>0</v>
      </c>
      <c r="K73" s="1165">
        <v>0</v>
      </c>
      <c r="L73" s="1166">
        <v>0</v>
      </c>
      <c r="M73" s="1166">
        <v>0</v>
      </c>
      <c r="N73" s="1166">
        <v>0</v>
      </c>
      <c r="O73" s="1166">
        <v>0</v>
      </c>
      <c r="P73" s="1166">
        <v>0</v>
      </c>
      <c r="Q73" s="1166">
        <v>0</v>
      </c>
      <c r="R73" s="1166">
        <v>0</v>
      </c>
      <c r="S73" s="1166">
        <v>0</v>
      </c>
      <c r="T73" s="1166">
        <v>0</v>
      </c>
      <c r="U73" s="1166">
        <v>0</v>
      </c>
      <c r="V73" s="1166">
        <v>0</v>
      </c>
      <c r="W73" s="1166">
        <v>0</v>
      </c>
      <c r="X73" s="1166">
        <v>0</v>
      </c>
      <c r="Y73" s="1166">
        <v>0</v>
      </c>
      <c r="Z73" s="1166">
        <v>0</v>
      </c>
      <c r="AA73" s="1166">
        <v>0</v>
      </c>
      <c r="AB73" s="1166">
        <v>0</v>
      </c>
      <c r="AC73" s="1166">
        <v>0</v>
      </c>
      <c r="AD73" s="1166">
        <v>0</v>
      </c>
      <c r="AE73" s="1166">
        <v>0</v>
      </c>
      <c r="AF73" s="1166">
        <v>0</v>
      </c>
      <c r="AG73" s="1166">
        <v>0</v>
      </c>
      <c r="AH73" s="1166">
        <v>0</v>
      </c>
      <c r="AI73" s="1166">
        <v>0</v>
      </c>
      <c r="AJ73" s="1166">
        <v>0</v>
      </c>
      <c r="AK73" s="1166">
        <v>1975001</v>
      </c>
      <c r="AL73" s="1166">
        <v>0</v>
      </c>
      <c r="AM73" s="1166">
        <v>0</v>
      </c>
      <c r="AN73" s="1166">
        <v>0</v>
      </c>
      <c r="AO73" s="1166">
        <v>0</v>
      </c>
      <c r="AP73" s="1166">
        <v>0</v>
      </c>
      <c r="AQ73" s="1166">
        <v>0</v>
      </c>
      <c r="AR73" s="1166">
        <v>0</v>
      </c>
      <c r="AS73" s="1166">
        <v>0</v>
      </c>
      <c r="AT73" s="1166">
        <v>0</v>
      </c>
      <c r="AU73" s="1166">
        <v>0</v>
      </c>
      <c r="AV73" s="1166">
        <v>0</v>
      </c>
      <c r="AW73" s="1166">
        <v>0</v>
      </c>
      <c r="AX73" s="1166">
        <v>0</v>
      </c>
      <c r="AY73" s="1166">
        <v>0</v>
      </c>
      <c r="AZ73" s="1166">
        <v>0</v>
      </c>
      <c r="BA73" s="1166">
        <v>0</v>
      </c>
      <c r="BB73" s="1166">
        <v>0</v>
      </c>
      <c r="BC73" s="1166">
        <v>0</v>
      </c>
      <c r="BD73" s="1166">
        <v>0</v>
      </c>
      <c r="BE73" s="1166">
        <v>0</v>
      </c>
      <c r="BF73" s="1166">
        <v>0</v>
      </c>
      <c r="BG73" s="1166">
        <v>0</v>
      </c>
      <c r="BH73" s="1166">
        <v>0</v>
      </c>
      <c r="BI73" s="1166">
        <v>0</v>
      </c>
      <c r="BJ73" s="1166">
        <v>0</v>
      </c>
      <c r="BK73" s="1166">
        <v>0</v>
      </c>
      <c r="BL73" s="1166">
        <v>20620</v>
      </c>
      <c r="BM73" s="1166">
        <v>0</v>
      </c>
      <c r="BN73" s="1166">
        <v>0</v>
      </c>
      <c r="BO73" s="1166">
        <v>0</v>
      </c>
      <c r="BP73" s="1166">
        <v>0</v>
      </c>
      <c r="BQ73" s="1166">
        <v>0</v>
      </c>
      <c r="BR73" s="1166">
        <v>0</v>
      </c>
      <c r="BS73" s="1166">
        <v>0</v>
      </c>
      <c r="BT73" s="1166">
        <v>0</v>
      </c>
      <c r="BU73" s="1166">
        <v>0</v>
      </c>
      <c r="BV73" s="1166">
        <v>0</v>
      </c>
      <c r="BW73" s="1166">
        <v>0</v>
      </c>
      <c r="BX73" s="1166">
        <v>0</v>
      </c>
      <c r="BY73" s="1166">
        <v>0</v>
      </c>
      <c r="BZ73" s="1166">
        <v>0</v>
      </c>
      <c r="CA73" s="1166">
        <v>0</v>
      </c>
      <c r="CB73" s="1166">
        <v>0</v>
      </c>
    </row>
    <row r="74" spans="1:80" s="1156" customFormat="1" ht="28.8" x14ac:dyDescent="0.3">
      <c r="A74" s="1154"/>
      <c r="B74" s="1162">
        <v>193</v>
      </c>
      <c r="C74" s="1167" t="s">
        <v>383</v>
      </c>
      <c r="D74" s="1154" t="s">
        <v>384</v>
      </c>
      <c r="E74" s="1164"/>
      <c r="F74" s="1165"/>
      <c r="G74" s="1165"/>
      <c r="H74" s="1165"/>
      <c r="I74" s="1165"/>
      <c r="J74" s="1165"/>
      <c r="K74" s="1165"/>
      <c r="L74" s="1166"/>
      <c r="M74" s="1166"/>
      <c r="N74" s="1166"/>
      <c r="O74" s="1166"/>
      <c r="P74" s="1166"/>
      <c r="Q74" s="1166"/>
      <c r="R74" s="1166"/>
      <c r="S74" s="1166"/>
      <c r="T74" s="1166"/>
      <c r="U74" s="1166"/>
      <c r="V74" s="1166"/>
      <c r="W74" s="1166"/>
      <c r="X74" s="1166"/>
      <c r="Y74" s="1166"/>
      <c r="Z74" s="1166"/>
      <c r="AA74" s="1166"/>
      <c r="AB74" s="1166"/>
      <c r="AC74" s="1166"/>
      <c r="AD74" s="1166"/>
      <c r="AE74" s="1166"/>
      <c r="AF74" s="1166"/>
      <c r="AG74" s="1166"/>
      <c r="AH74" s="1166"/>
      <c r="AI74" s="1166"/>
      <c r="AJ74" s="1166"/>
      <c r="AK74" s="1166"/>
      <c r="AL74" s="1166"/>
      <c r="AM74" s="1166"/>
      <c r="AN74" s="1166"/>
      <c r="AO74" s="1166"/>
      <c r="AP74" s="1166"/>
      <c r="AQ74" s="1166"/>
      <c r="AR74" s="1166"/>
      <c r="AS74" s="1166"/>
      <c r="AT74" s="1166"/>
      <c r="AU74" s="1166"/>
      <c r="AV74" s="1166"/>
      <c r="AW74" s="1166"/>
      <c r="AX74" s="1166"/>
      <c r="AY74" s="1166"/>
      <c r="AZ74" s="1166"/>
      <c r="BA74" s="1166"/>
      <c r="BB74" s="1166"/>
      <c r="BC74" s="1166"/>
      <c r="BD74" s="1166"/>
      <c r="BE74" s="1166"/>
      <c r="BF74" s="1166"/>
      <c r="BG74" s="1166"/>
      <c r="BH74" s="1166"/>
      <c r="BI74" s="1166"/>
      <c r="BJ74" s="1166"/>
      <c r="BK74" s="1166"/>
      <c r="BL74" s="1166"/>
      <c r="BM74" s="1166"/>
      <c r="BN74" s="1166"/>
      <c r="BO74" s="1166"/>
      <c r="BP74" s="1166"/>
      <c r="BQ74" s="1166"/>
      <c r="BR74" s="1166"/>
      <c r="BS74" s="1166"/>
      <c r="BT74" s="1166"/>
      <c r="BU74" s="1166"/>
      <c r="BV74" s="1166"/>
      <c r="BW74" s="1166"/>
      <c r="BX74" s="1166"/>
      <c r="BY74" s="1166"/>
      <c r="BZ74" s="1166"/>
      <c r="CA74" s="1166"/>
      <c r="CB74" s="1166"/>
    </row>
    <row r="75" spans="1:80" s="1156" customFormat="1" x14ac:dyDescent="0.3">
      <c r="A75" s="1154"/>
      <c r="B75" s="1162">
        <v>194</v>
      </c>
      <c r="C75" s="1151" t="s">
        <v>385</v>
      </c>
      <c r="D75" s="1154" t="s">
        <v>386</v>
      </c>
      <c r="E75" s="1164"/>
      <c r="F75" s="1165"/>
      <c r="G75" s="1165"/>
      <c r="H75" s="1165"/>
      <c r="I75" s="1165"/>
      <c r="J75" s="1165"/>
      <c r="K75" s="1165"/>
      <c r="L75" s="1166"/>
      <c r="M75" s="1166"/>
      <c r="N75" s="1166"/>
      <c r="O75" s="1166"/>
      <c r="P75" s="1166"/>
      <c r="Q75" s="1166"/>
      <c r="R75" s="1166"/>
      <c r="S75" s="1166"/>
      <c r="T75" s="1166"/>
      <c r="U75" s="1166"/>
      <c r="V75" s="1166"/>
      <c r="W75" s="1166"/>
      <c r="X75" s="1166"/>
      <c r="Y75" s="1166"/>
      <c r="Z75" s="1166"/>
      <c r="AA75" s="1166"/>
      <c r="AB75" s="1166"/>
      <c r="AC75" s="1166"/>
      <c r="AD75" s="1166"/>
      <c r="AE75" s="1166"/>
      <c r="AF75" s="1166"/>
      <c r="AG75" s="1166"/>
      <c r="AH75" s="1166"/>
      <c r="AI75" s="1166"/>
      <c r="AJ75" s="1166"/>
      <c r="AK75" s="1166"/>
      <c r="AL75" s="1166"/>
      <c r="AM75" s="1166"/>
      <c r="AN75" s="1166"/>
      <c r="AO75" s="1166"/>
      <c r="AP75" s="1166"/>
      <c r="AQ75" s="1166"/>
      <c r="AR75" s="1166"/>
      <c r="AS75" s="1166"/>
      <c r="AT75" s="1166"/>
      <c r="AU75" s="1166"/>
      <c r="AV75" s="1166"/>
      <c r="AW75" s="1166"/>
      <c r="AX75" s="1166"/>
      <c r="AY75" s="1166"/>
      <c r="AZ75" s="1166"/>
      <c r="BA75" s="1166"/>
      <c r="BB75" s="1166"/>
      <c r="BC75" s="1166"/>
      <c r="BD75" s="1166"/>
      <c r="BE75" s="1166"/>
      <c r="BF75" s="1166"/>
      <c r="BG75" s="1166"/>
      <c r="BH75" s="1166"/>
      <c r="BI75" s="1166"/>
      <c r="BJ75" s="1166"/>
      <c r="BK75" s="1166"/>
      <c r="BL75" s="1166"/>
      <c r="BM75" s="1166"/>
      <c r="BN75" s="1166"/>
      <c r="BO75" s="1166"/>
      <c r="BP75" s="1166"/>
      <c r="BQ75" s="1166"/>
      <c r="BR75" s="1166"/>
      <c r="BS75" s="1166"/>
      <c r="BT75" s="1166"/>
      <c r="BU75" s="1166"/>
      <c r="BV75" s="1166"/>
      <c r="BW75" s="1166"/>
      <c r="BX75" s="1166"/>
      <c r="BY75" s="1166"/>
      <c r="BZ75" s="1166"/>
      <c r="CA75" s="1166"/>
      <c r="CB75" s="1166"/>
    </row>
    <row r="76" spans="1:80" s="1156" customFormat="1" x14ac:dyDescent="0.3">
      <c r="A76" s="1154"/>
      <c r="B76" s="1162">
        <v>231</v>
      </c>
      <c r="C76" s="1163" t="s">
        <v>387</v>
      </c>
      <c r="D76" s="1154" t="s">
        <v>388</v>
      </c>
      <c r="E76" s="1164"/>
      <c r="F76" s="1165"/>
      <c r="G76" s="1165"/>
      <c r="H76" s="1165"/>
      <c r="I76" s="1165"/>
      <c r="J76" s="1165"/>
      <c r="K76" s="1165"/>
      <c r="L76" s="1166"/>
      <c r="M76" s="1166"/>
      <c r="N76" s="1166"/>
      <c r="O76" s="1166"/>
      <c r="P76" s="1166"/>
      <c r="Q76" s="1166"/>
      <c r="R76" s="1166"/>
      <c r="S76" s="1166"/>
      <c r="T76" s="1166"/>
      <c r="U76" s="1166"/>
      <c r="V76" s="1166"/>
      <c r="W76" s="1166"/>
      <c r="X76" s="1166"/>
      <c r="Y76" s="1166"/>
      <c r="Z76" s="1166"/>
      <c r="AA76" s="1166"/>
      <c r="AB76" s="1166"/>
      <c r="AC76" s="1166"/>
      <c r="AD76" s="1166"/>
      <c r="AE76" s="1166"/>
      <c r="AF76" s="1166"/>
      <c r="AG76" s="1166"/>
      <c r="AH76" s="1166"/>
      <c r="AI76" s="1166"/>
      <c r="AJ76" s="1166"/>
      <c r="AK76" s="1166"/>
      <c r="AL76" s="1166"/>
      <c r="AM76" s="1166"/>
      <c r="AN76" s="1166"/>
      <c r="AO76" s="1166"/>
      <c r="AP76" s="1166"/>
      <c r="AQ76" s="1166"/>
      <c r="AR76" s="1166"/>
      <c r="AS76" s="1166"/>
      <c r="AT76" s="1166"/>
      <c r="AU76" s="1166"/>
      <c r="AV76" s="1166"/>
      <c r="AW76" s="1166"/>
      <c r="AX76" s="1166"/>
      <c r="AY76" s="1166"/>
      <c r="AZ76" s="1166"/>
      <c r="BA76" s="1166"/>
      <c r="BB76" s="1166"/>
      <c r="BC76" s="1166"/>
      <c r="BD76" s="1166"/>
      <c r="BE76" s="1166"/>
      <c r="BF76" s="1166"/>
      <c r="BG76" s="1166"/>
      <c r="BH76" s="1166"/>
      <c r="BI76" s="1166"/>
      <c r="BJ76" s="1166"/>
      <c r="BK76" s="1166"/>
      <c r="BL76" s="1166"/>
      <c r="BM76" s="1166"/>
      <c r="BN76" s="1166"/>
      <c r="BO76" s="1166"/>
      <c r="BP76" s="1166"/>
      <c r="BQ76" s="1166"/>
      <c r="BR76" s="1166"/>
      <c r="BS76" s="1166"/>
      <c r="BT76" s="1166"/>
      <c r="BU76" s="1166"/>
      <c r="BV76" s="1166"/>
      <c r="BW76" s="1166"/>
      <c r="BX76" s="1166"/>
      <c r="BY76" s="1166"/>
      <c r="BZ76" s="1166"/>
      <c r="CA76" s="1166"/>
      <c r="CB76" s="1166"/>
    </row>
    <row r="77" spans="1:80" s="1156" customFormat="1" ht="28.8" x14ac:dyDescent="0.3">
      <c r="A77" s="1154"/>
      <c r="B77" s="1162">
        <v>251</v>
      </c>
      <c r="C77" s="1163" t="s">
        <v>389</v>
      </c>
      <c r="D77" s="1154" t="s">
        <v>390</v>
      </c>
      <c r="E77" s="1164"/>
      <c r="F77" s="1165"/>
      <c r="G77" s="1165"/>
      <c r="H77" s="1165"/>
      <c r="I77" s="1165"/>
      <c r="J77" s="1165"/>
      <c r="K77" s="1165"/>
      <c r="L77" s="1166"/>
      <c r="M77" s="1166"/>
      <c r="N77" s="1166"/>
      <c r="O77" s="1166"/>
      <c r="P77" s="1166"/>
      <c r="Q77" s="1166"/>
      <c r="R77" s="1166"/>
      <c r="S77" s="1166"/>
      <c r="T77" s="1166"/>
      <c r="U77" s="1166"/>
      <c r="V77" s="1166"/>
      <c r="W77" s="1166"/>
      <c r="X77" s="1166"/>
      <c r="Y77" s="1166"/>
      <c r="Z77" s="1166"/>
      <c r="AA77" s="1166"/>
      <c r="AB77" s="1166"/>
      <c r="AC77" s="1166"/>
      <c r="AD77" s="1166"/>
      <c r="AE77" s="1166"/>
      <c r="AF77" s="1166"/>
      <c r="AG77" s="1166"/>
      <c r="AH77" s="1166"/>
      <c r="AI77" s="1166"/>
      <c r="AJ77" s="1166"/>
      <c r="AK77" s="1166"/>
      <c r="AL77" s="1166"/>
      <c r="AM77" s="1166"/>
      <c r="AN77" s="1166"/>
      <c r="AO77" s="1166"/>
      <c r="AP77" s="1166"/>
      <c r="AQ77" s="1166"/>
      <c r="AR77" s="1166"/>
      <c r="AS77" s="1166"/>
      <c r="AT77" s="1166"/>
      <c r="AU77" s="1166"/>
      <c r="AV77" s="1166"/>
      <c r="AW77" s="1166"/>
      <c r="AX77" s="1166"/>
      <c r="AY77" s="1166"/>
      <c r="AZ77" s="1166"/>
      <c r="BA77" s="1166"/>
      <c r="BB77" s="1166"/>
      <c r="BC77" s="1166"/>
      <c r="BD77" s="1166"/>
      <c r="BE77" s="1166"/>
      <c r="BF77" s="1166"/>
      <c r="BG77" s="1166"/>
      <c r="BH77" s="1166"/>
      <c r="BI77" s="1166"/>
      <c r="BJ77" s="1166"/>
      <c r="BK77" s="1166"/>
      <c r="BL77" s="1166"/>
      <c r="BM77" s="1166"/>
      <c r="BN77" s="1166"/>
      <c r="BO77" s="1166"/>
      <c r="BP77" s="1166"/>
      <c r="BQ77" s="1166"/>
      <c r="BR77" s="1166"/>
      <c r="BS77" s="1166"/>
      <c r="BT77" s="1166"/>
      <c r="BU77" s="1166"/>
      <c r="BV77" s="1166"/>
      <c r="BW77" s="1166"/>
      <c r="BX77" s="1166"/>
      <c r="BY77" s="1166"/>
      <c r="BZ77" s="1166"/>
      <c r="CA77" s="1166"/>
      <c r="CB77" s="1166"/>
    </row>
    <row r="78" spans="1:80" s="1156" customFormat="1" x14ac:dyDescent="0.3">
      <c r="A78" s="1161">
        <v>252</v>
      </c>
      <c r="B78" s="1162">
        <v>252</v>
      </c>
      <c r="C78" s="1163" t="s">
        <v>103</v>
      </c>
      <c r="D78" s="1154" t="s">
        <v>391</v>
      </c>
      <c r="E78" s="1164">
        <v>1656465</v>
      </c>
      <c r="F78" s="1165">
        <v>44286290</v>
      </c>
      <c r="G78" s="1165">
        <v>0</v>
      </c>
      <c r="H78" s="1165">
        <v>68765359</v>
      </c>
      <c r="I78" s="1165">
        <v>8812432</v>
      </c>
      <c r="J78" s="1165">
        <v>51361</v>
      </c>
      <c r="K78" s="1165">
        <v>687306</v>
      </c>
      <c r="L78" s="1166">
        <v>1415622</v>
      </c>
      <c r="M78" s="1166">
        <v>126260718</v>
      </c>
      <c r="N78" s="1166">
        <v>71388</v>
      </c>
      <c r="O78" s="1166">
        <v>1257905</v>
      </c>
      <c r="P78" s="1166">
        <v>1423104</v>
      </c>
      <c r="Q78" s="1166">
        <v>135216032</v>
      </c>
      <c r="R78" s="1166">
        <v>24985284</v>
      </c>
      <c r="S78" s="1166">
        <v>9130537</v>
      </c>
      <c r="T78" s="1166">
        <v>7778098</v>
      </c>
      <c r="U78" s="1166">
        <v>0</v>
      </c>
      <c r="V78" s="1166">
        <v>14074186</v>
      </c>
      <c r="W78" s="1166">
        <v>1173</v>
      </c>
      <c r="X78" s="1166">
        <v>13357599</v>
      </c>
      <c r="Y78" s="1166">
        <v>92350593</v>
      </c>
      <c r="Z78" s="1166">
        <v>7136188</v>
      </c>
      <c r="AA78" s="1166">
        <v>2195544</v>
      </c>
      <c r="AB78" s="1166">
        <v>7785330</v>
      </c>
      <c r="AC78" s="1166">
        <v>316061</v>
      </c>
      <c r="AD78" s="1166">
        <v>265365</v>
      </c>
      <c r="AE78" s="1166">
        <v>2073649</v>
      </c>
      <c r="AF78" s="1166">
        <v>2648798</v>
      </c>
      <c r="AG78" s="1166">
        <v>1231135</v>
      </c>
      <c r="AH78" s="1166">
        <v>95795</v>
      </c>
      <c r="AI78" s="1166">
        <v>1090001</v>
      </c>
      <c r="AJ78" s="1166">
        <v>1650181</v>
      </c>
      <c r="AK78" s="1166">
        <v>7660156</v>
      </c>
      <c r="AL78" s="1166">
        <v>617983</v>
      </c>
      <c r="AM78" s="1166">
        <v>21166</v>
      </c>
      <c r="AN78" s="1166">
        <v>53254791</v>
      </c>
      <c r="AO78" s="1166">
        <v>22585914</v>
      </c>
      <c r="AP78" s="1166">
        <v>250094</v>
      </c>
      <c r="AQ78" s="1166">
        <v>8154438</v>
      </c>
      <c r="AR78" s="1166">
        <v>35056704</v>
      </c>
      <c r="AS78" s="1166">
        <v>1070652</v>
      </c>
      <c r="AT78" s="1166">
        <v>1240527</v>
      </c>
      <c r="AU78" s="1166">
        <v>3967172</v>
      </c>
      <c r="AV78" s="1166">
        <v>18104701</v>
      </c>
      <c r="AW78" s="1166">
        <v>848692</v>
      </c>
      <c r="AX78" s="1166">
        <v>894270</v>
      </c>
      <c r="AY78" s="1166">
        <v>12445622</v>
      </c>
      <c r="AZ78" s="1166">
        <v>1960296</v>
      </c>
      <c r="BA78" s="1166">
        <v>5688984</v>
      </c>
      <c r="BB78" s="1166">
        <v>21936</v>
      </c>
      <c r="BC78" s="1166">
        <v>1274516</v>
      </c>
      <c r="BD78" s="1166">
        <v>0</v>
      </c>
      <c r="BE78" s="1166">
        <v>18401</v>
      </c>
      <c r="BF78" s="1166">
        <v>25936691</v>
      </c>
      <c r="BG78" s="1166">
        <v>0</v>
      </c>
      <c r="BH78" s="1166">
        <v>51249</v>
      </c>
      <c r="BI78" s="1166">
        <v>2011472</v>
      </c>
      <c r="BJ78" s="1166">
        <v>7591841</v>
      </c>
      <c r="BK78" s="1166">
        <v>206260</v>
      </c>
      <c r="BL78" s="1166">
        <v>8774417</v>
      </c>
      <c r="BM78" s="1166">
        <v>7330548</v>
      </c>
      <c r="BN78" s="1166">
        <v>47440</v>
      </c>
      <c r="BO78" s="1166">
        <v>7995695</v>
      </c>
      <c r="BP78" s="1166">
        <v>4068031</v>
      </c>
      <c r="BQ78" s="1166">
        <v>565322</v>
      </c>
      <c r="BR78" s="1166">
        <v>1432425</v>
      </c>
      <c r="BS78" s="1166">
        <v>8650791</v>
      </c>
      <c r="BT78" s="1166">
        <v>251567133</v>
      </c>
      <c r="BU78" s="1166">
        <v>1696284</v>
      </c>
      <c r="BV78" s="1166">
        <v>2536762</v>
      </c>
      <c r="BW78" s="1166">
        <v>884660</v>
      </c>
      <c r="BX78" s="1166">
        <v>3420578</v>
      </c>
      <c r="BY78" s="1166">
        <v>7793</v>
      </c>
      <c r="BZ78" s="1166">
        <v>5739</v>
      </c>
      <c r="CA78" s="1166">
        <v>48932506</v>
      </c>
      <c r="CB78" s="1166">
        <v>198855</v>
      </c>
    </row>
    <row r="79" spans="1:80" s="1156" customFormat="1" x14ac:dyDescent="0.3">
      <c r="A79" s="1161">
        <v>253</v>
      </c>
      <c r="B79" s="1162">
        <v>253</v>
      </c>
      <c r="C79" s="1163" t="s">
        <v>104</v>
      </c>
      <c r="D79" s="1154" t="s">
        <v>392</v>
      </c>
      <c r="E79" s="1164">
        <v>172269</v>
      </c>
      <c r="F79" s="1165">
        <v>7132134</v>
      </c>
      <c r="G79" s="1165">
        <v>0</v>
      </c>
      <c r="H79" s="1165">
        <v>13746079</v>
      </c>
      <c r="I79" s="1165">
        <v>3061774</v>
      </c>
      <c r="J79" s="1165">
        <v>161141</v>
      </c>
      <c r="K79" s="1165">
        <v>202679</v>
      </c>
      <c r="L79" s="1166">
        <v>529988</v>
      </c>
      <c r="M79" s="1166">
        <v>7606538</v>
      </c>
      <c r="N79" s="1166">
        <v>48126</v>
      </c>
      <c r="O79" s="1166">
        <v>256504</v>
      </c>
      <c r="P79" s="1166">
        <v>202991</v>
      </c>
      <c r="Q79" s="1166">
        <v>3101750</v>
      </c>
      <c r="R79" s="1166">
        <v>6277666</v>
      </c>
      <c r="S79" s="1166">
        <v>685362</v>
      </c>
      <c r="T79" s="1166">
        <v>3245491</v>
      </c>
      <c r="U79" s="1166">
        <v>0</v>
      </c>
      <c r="V79" s="1166">
        <v>11285710</v>
      </c>
      <c r="W79" s="1166">
        <v>105405</v>
      </c>
      <c r="X79" s="1166">
        <v>4499490</v>
      </c>
      <c r="Y79" s="1166">
        <v>3321406</v>
      </c>
      <c r="Z79" s="1166">
        <v>799589</v>
      </c>
      <c r="AA79" s="1166">
        <v>967319</v>
      </c>
      <c r="AB79" s="1166">
        <v>1234447</v>
      </c>
      <c r="AC79" s="1166">
        <v>412959</v>
      </c>
      <c r="AD79" s="1166">
        <v>55806</v>
      </c>
      <c r="AE79" s="1166">
        <v>361768</v>
      </c>
      <c r="AF79" s="1166">
        <v>855040</v>
      </c>
      <c r="AG79" s="1166">
        <v>28941</v>
      </c>
      <c r="AH79" s="1166">
        <v>10415</v>
      </c>
      <c r="AI79" s="1166">
        <v>167771</v>
      </c>
      <c r="AJ79" s="1166">
        <v>262556</v>
      </c>
      <c r="AK79" s="1166">
        <v>556979</v>
      </c>
      <c r="AL79" s="1166">
        <v>72013</v>
      </c>
      <c r="AM79" s="1166">
        <v>3212</v>
      </c>
      <c r="AN79" s="1166">
        <v>5963944</v>
      </c>
      <c r="AO79" s="1166">
        <v>2134052</v>
      </c>
      <c r="AP79" s="1166">
        <v>88795</v>
      </c>
      <c r="AQ79" s="1166">
        <v>1038938</v>
      </c>
      <c r="AR79" s="1166">
        <v>3780396</v>
      </c>
      <c r="AS79" s="1166">
        <v>1108330</v>
      </c>
      <c r="AT79" s="1166">
        <v>73003</v>
      </c>
      <c r="AU79" s="1166">
        <v>926288</v>
      </c>
      <c r="AV79" s="1166">
        <v>2127871</v>
      </c>
      <c r="AW79" s="1166">
        <v>10826</v>
      </c>
      <c r="AX79" s="1166">
        <v>225361</v>
      </c>
      <c r="AY79" s="1166">
        <v>285386</v>
      </c>
      <c r="AZ79" s="1166">
        <v>922408</v>
      </c>
      <c r="BA79" s="1166">
        <v>1517207</v>
      </c>
      <c r="BB79" s="1166">
        <v>49684</v>
      </c>
      <c r="BC79" s="1166">
        <v>662337</v>
      </c>
      <c r="BD79" s="1166">
        <v>0</v>
      </c>
      <c r="BE79" s="1166">
        <v>15860</v>
      </c>
      <c r="BF79" s="1166">
        <v>3213489</v>
      </c>
      <c r="BG79" s="1166">
        <v>0</v>
      </c>
      <c r="BH79" s="1166">
        <v>29512</v>
      </c>
      <c r="BI79" s="1166">
        <v>445952</v>
      </c>
      <c r="BJ79" s="1166">
        <v>453580</v>
      </c>
      <c r="BK79" s="1166">
        <v>312551</v>
      </c>
      <c r="BL79" s="1166">
        <v>952637</v>
      </c>
      <c r="BM79" s="1166">
        <v>432469</v>
      </c>
      <c r="BN79" s="1166">
        <v>5800</v>
      </c>
      <c r="BO79" s="1166">
        <v>1529703</v>
      </c>
      <c r="BP79" s="1166">
        <v>343060</v>
      </c>
      <c r="BQ79" s="1166">
        <v>226345</v>
      </c>
      <c r="BR79" s="1166">
        <v>506246</v>
      </c>
      <c r="BS79" s="1166">
        <v>79976</v>
      </c>
      <c r="BT79" s="1166">
        <v>7149641</v>
      </c>
      <c r="BU79" s="1166">
        <v>333682</v>
      </c>
      <c r="BV79" s="1166">
        <v>456897</v>
      </c>
      <c r="BW79" s="1166">
        <v>142338</v>
      </c>
      <c r="BX79" s="1166">
        <v>553493</v>
      </c>
      <c r="BY79" s="1166">
        <v>21475</v>
      </c>
      <c r="BZ79" s="1166">
        <v>23979</v>
      </c>
      <c r="CA79" s="1166">
        <v>2535935</v>
      </c>
      <c r="CB79" s="1166">
        <v>8569</v>
      </c>
    </row>
    <row r="80" spans="1:80" s="1156" customFormat="1" x14ac:dyDescent="0.3">
      <c r="A80" s="1161">
        <v>254</v>
      </c>
      <c r="B80" s="1162">
        <v>254</v>
      </c>
      <c r="C80" s="1163" t="s">
        <v>105</v>
      </c>
      <c r="D80" s="1154" t="s">
        <v>393</v>
      </c>
      <c r="E80" s="1164">
        <v>1605749</v>
      </c>
      <c r="F80" s="1165">
        <v>16980116</v>
      </c>
      <c r="G80" s="1165">
        <v>0</v>
      </c>
      <c r="H80" s="1165">
        <v>32417432</v>
      </c>
      <c r="I80" s="1165">
        <v>1698501</v>
      </c>
      <c r="J80" s="1165">
        <v>125711</v>
      </c>
      <c r="K80" s="1165">
        <v>2402835</v>
      </c>
      <c r="L80" s="1166">
        <v>855158</v>
      </c>
      <c r="M80" s="1166">
        <v>-37939496</v>
      </c>
      <c r="N80" s="1166">
        <v>203212</v>
      </c>
      <c r="O80" s="1166">
        <v>-203758</v>
      </c>
      <c r="P80" s="1166">
        <v>296794</v>
      </c>
      <c r="Q80" s="1166">
        <v>-7193357</v>
      </c>
      <c r="R80" s="1166">
        <v>2426895</v>
      </c>
      <c r="S80" s="1166">
        <v>989062</v>
      </c>
      <c r="T80" s="1166">
        <v>1454381</v>
      </c>
      <c r="U80" s="1166">
        <v>0</v>
      </c>
      <c r="V80" s="1166">
        <v>-1826360</v>
      </c>
      <c r="W80" s="1166">
        <v>165598</v>
      </c>
      <c r="X80" s="1166">
        <v>5209218</v>
      </c>
      <c r="Y80" s="1166">
        <v>-2462797</v>
      </c>
      <c r="Z80" s="1166">
        <v>1807543</v>
      </c>
      <c r="AA80" s="1166">
        <v>1686844</v>
      </c>
      <c r="AB80" s="1166">
        <v>-855601</v>
      </c>
      <c r="AC80" s="1166">
        <v>1051287</v>
      </c>
      <c r="AD80" s="1166">
        <v>177145</v>
      </c>
      <c r="AE80" s="1166">
        <v>1047140</v>
      </c>
      <c r="AF80" s="1166">
        <v>1084690</v>
      </c>
      <c r="AG80" s="1166">
        <v>72125</v>
      </c>
      <c r="AH80" s="1166">
        <v>68046</v>
      </c>
      <c r="AI80" s="1166">
        <v>133909</v>
      </c>
      <c r="AJ80" s="1166">
        <v>1679323</v>
      </c>
      <c r="AK80" s="1166">
        <v>-248758</v>
      </c>
      <c r="AL80" s="1166">
        <v>255368</v>
      </c>
      <c r="AM80" s="1166">
        <v>115770</v>
      </c>
      <c r="AN80" s="1166">
        <v>7782408</v>
      </c>
      <c r="AO80" s="1166">
        <v>5662667</v>
      </c>
      <c r="AP80" s="1166">
        <v>593475</v>
      </c>
      <c r="AQ80" s="1166">
        <v>10074621</v>
      </c>
      <c r="AR80" s="1166">
        <v>2200347</v>
      </c>
      <c r="AS80" s="1166">
        <v>1865111</v>
      </c>
      <c r="AT80" s="1166">
        <v>157669</v>
      </c>
      <c r="AU80" s="1166">
        <v>168393</v>
      </c>
      <c r="AV80" s="1166">
        <v>-6051578</v>
      </c>
      <c r="AW80" s="1166">
        <v>146800</v>
      </c>
      <c r="AX80" s="1166">
        <v>310480</v>
      </c>
      <c r="AY80" s="1166">
        <v>935109</v>
      </c>
      <c r="AZ80" s="1166">
        <v>1374318</v>
      </c>
      <c r="BA80" s="1166">
        <v>-556067</v>
      </c>
      <c r="BB80" s="1166">
        <v>76569</v>
      </c>
      <c r="BC80" s="1166">
        <v>673131</v>
      </c>
      <c r="BD80" s="1166">
        <v>0</v>
      </c>
      <c r="BE80" s="1166">
        <v>384872</v>
      </c>
      <c r="BF80" s="1166">
        <v>-30208987</v>
      </c>
      <c r="BG80" s="1166">
        <v>0</v>
      </c>
      <c r="BH80" s="1166">
        <v>153727</v>
      </c>
      <c r="BI80" s="1166">
        <v>-992453</v>
      </c>
      <c r="BJ80" s="1166">
        <v>2494348</v>
      </c>
      <c r="BK80" s="1166">
        <v>331192</v>
      </c>
      <c r="BL80" s="1166">
        <v>1783466</v>
      </c>
      <c r="BM80" s="1166">
        <v>3652165</v>
      </c>
      <c r="BN80" s="1166">
        <v>136189</v>
      </c>
      <c r="BO80" s="1166">
        <v>1880575</v>
      </c>
      <c r="BP80" s="1166">
        <v>3131400</v>
      </c>
      <c r="BQ80" s="1166">
        <v>1361244</v>
      </c>
      <c r="BR80" s="1166">
        <v>2141629</v>
      </c>
      <c r="BS80" s="1166">
        <v>3002283</v>
      </c>
      <c r="BT80" s="1166">
        <v>2926238</v>
      </c>
      <c r="BU80" s="1166">
        <v>2327954</v>
      </c>
      <c r="BV80" s="1166">
        <v>-1998234</v>
      </c>
      <c r="BW80" s="1166">
        <v>549799</v>
      </c>
      <c r="BX80" s="1166">
        <v>751260</v>
      </c>
      <c r="BY80" s="1166">
        <v>165573</v>
      </c>
      <c r="BZ80" s="1166">
        <v>193444</v>
      </c>
      <c r="CA80" s="1166">
        <v>6215856</v>
      </c>
      <c r="CB80" s="1166">
        <v>106377</v>
      </c>
    </row>
    <row r="81" spans="1:80" s="1156" customFormat="1" x14ac:dyDescent="0.3">
      <c r="A81" s="1161">
        <v>255</v>
      </c>
      <c r="B81" s="1162">
        <v>255</v>
      </c>
      <c r="C81" s="1163" t="s">
        <v>197</v>
      </c>
      <c r="D81" s="1154" t="s">
        <v>394</v>
      </c>
      <c r="E81" s="1164">
        <v>934224</v>
      </c>
      <c r="F81" s="1165">
        <v>5784936</v>
      </c>
      <c r="G81" s="1165">
        <v>0</v>
      </c>
      <c r="H81" s="1165">
        <v>6523986</v>
      </c>
      <c r="I81" s="1165">
        <v>2872962</v>
      </c>
      <c r="J81" s="1165">
        <v>-2759</v>
      </c>
      <c r="K81" s="1165">
        <v>-44482</v>
      </c>
      <c r="L81" s="1166">
        <v>-81221</v>
      </c>
      <c r="M81" s="1166">
        <v>4275932</v>
      </c>
      <c r="N81" s="1166">
        <v>9229</v>
      </c>
      <c r="O81" s="1166">
        <v>119138</v>
      </c>
      <c r="P81" s="1166">
        <v>-90830</v>
      </c>
      <c r="Q81" s="1166">
        <v>1108585</v>
      </c>
      <c r="R81" s="1166">
        <v>-240819</v>
      </c>
      <c r="S81" s="1166">
        <v>-344804</v>
      </c>
      <c r="T81" s="1166">
        <v>2709942</v>
      </c>
      <c r="U81" s="1166">
        <v>0</v>
      </c>
      <c r="V81" s="1166">
        <v>871591</v>
      </c>
      <c r="W81" s="1166">
        <v>-1600</v>
      </c>
      <c r="X81" s="1166">
        <v>-1040494</v>
      </c>
      <c r="Y81" s="1166">
        <v>6596541</v>
      </c>
      <c r="Z81" s="1166">
        <v>572706</v>
      </c>
      <c r="AA81" s="1166">
        <v>569010</v>
      </c>
      <c r="AB81" s="1166">
        <v>1464444</v>
      </c>
      <c r="AC81" s="1166">
        <v>198439</v>
      </c>
      <c r="AD81" s="1166">
        <v>-48674</v>
      </c>
      <c r="AE81" s="1166">
        <v>129062</v>
      </c>
      <c r="AF81" s="1166">
        <v>564594</v>
      </c>
      <c r="AG81" s="1166">
        <v>-14704</v>
      </c>
      <c r="AH81" s="1166">
        <v>5187</v>
      </c>
      <c r="AI81" s="1166">
        <v>-28781</v>
      </c>
      <c r="AJ81" s="1166">
        <v>331538</v>
      </c>
      <c r="AK81" s="1166">
        <v>-151594</v>
      </c>
      <c r="AL81" s="1166">
        <v>74141</v>
      </c>
      <c r="AM81" s="1166">
        <v>3170</v>
      </c>
      <c r="AN81" s="1166">
        <v>1422074</v>
      </c>
      <c r="AO81" s="1166">
        <v>745851</v>
      </c>
      <c r="AP81" s="1166">
        <v>109623</v>
      </c>
      <c r="AQ81" s="1166">
        <v>1020491</v>
      </c>
      <c r="AR81" s="1166">
        <v>-2252923</v>
      </c>
      <c r="AS81" s="1166">
        <v>-53449</v>
      </c>
      <c r="AT81" s="1166">
        <v>141939</v>
      </c>
      <c r="AU81" s="1166">
        <v>-117987</v>
      </c>
      <c r="AV81" s="1166">
        <v>1461836</v>
      </c>
      <c r="AW81" s="1166">
        <v>36686</v>
      </c>
      <c r="AX81" s="1166">
        <v>29678</v>
      </c>
      <c r="AY81" s="1166">
        <v>2667087</v>
      </c>
      <c r="AZ81" s="1166">
        <v>85172</v>
      </c>
      <c r="BA81" s="1166">
        <v>63460</v>
      </c>
      <c r="BB81" s="1166">
        <v>22321</v>
      </c>
      <c r="BC81" s="1166">
        <v>40420</v>
      </c>
      <c r="BD81" s="1166">
        <v>0</v>
      </c>
      <c r="BE81" s="1166">
        <v>14439</v>
      </c>
      <c r="BF81" s="1166">
        <v>-1010183</v>
      </c>
      <c r="BG81" s="1166">
        <v>0</v>
      </c>
      <c r="BH81" s="1166">
        <v>16715</v>
      </c>
      <c r="BI81" s="1166">
        <v>-376516</v>
      </c>
      <c r="BJ81" s="1166">
        <v>471463</v>
      </c>
      <c r="BK81" s="1166">
        <v>-25442</v>
      </c>
      <c r="BL81" s="1166">
        <v>87778</v>
      </c>
      <c r="BM81" s="1166">
        <v>-133539</v>
      </c>
      <c r="BN81" s="1166">
        <v>6387</v>
      </c>
      <c r="BO81" s="1166">
        <v>-876725</v>
      </c>
      <c r="BP81" s="1166">
        <v>258453</v>
      </c>
      <c r="BQ81" s="1166">
        <v>-70937</v>
      </c>
      <c r="BR81" s="1166">
        <v>1403235</v>
      </c>
      <c r="BS81" s="1166">
        <v>5228882</v>
      </c>
      <c r="BT81" s="1166">
        <v>-292047</v>
      </c>
      <c r="BU81" s="1166">
        <v>-5973</v>
      </c>
      <c r="BV81" s="1166">
        <v>211489</v>
      </c>
      <c r="BW81" s="1166">
        <v>-25043</v>
      </c>
      <c r="BX81" s="1166">
        <v>406106</v>
      </c>
      <c r="BY81" s="1166">
        <v>8253</v>
      </c>
      <c r="BZ81" s="1166">
        <v>6444</v>
      </c>
      <c r="CA81" s="1166">
        <v>3971837</v>
      </c>
      <c r="CB81" s="1166">
        <v>12487</v>
      </c>
    </row>
    <row r="82" spans="1:80" s="1156" customFormat="1" x14ac:dyDescent="0.3">
      <c r="A82" s="1154"/>
      <c r="B82" s="1162">
        <v>274</v>
      </c>
      <c r="C82" s="1167" t="s">
        <v>395</v>
      </c>
      <c r="D82" s="1154" t="s">
        <v>396</v>
      </c>
      <c r="E82" s="1164"/>
      <c r="F82" s="1165"/>
      <c r="G82" s="1165"/>
      <c r="H82" s="1165"/>
      <c r="I82" s="1165"/>
      <c r="J82" s="1165"/>
      <c r="K82" s="1165"/>
      <c r="L82" s="1166"/>
      <c r="M82" s="1166"/>
      <c r="N82" s="1166"/>
      <c r="O82" s="1166"/>
      <c r="P82" s="1166"/>
      <c r="Q82" s="1166"/>
      <c r="R82" s="1166"/>
      <c r="S82" s="1166"/>
      <c r="T82" s="1166"/>
      <c r="U82" s="1166"/>
      <c r="V82" s="1166"/>
      <c r="W82" s="1166"/>
      <c r="X82" s="1166"/>
      <c r="Y82" s="1166"/>
      <c r="Z82" s="1166"/>
      <c r="AA82" s="1166"/>
      <c r="AB82" s="1166"/>
      <c r="AC82" s="1166"/>
      <c r="AD82" s="1166"/>
      <c r="AE82" s="1166"/>
      <c r="AF82" s="1166"/>
      <c r="AG82" s="1166"/>
      <c r="AH82" s="1166"/>
      <c r="AI82" s="1166"/>
      <c r="AJ82" s="1166"/>
      <c r="AK82" s="1166"/>
      <c r="AL82" s="1166"/>
      <c r="AM82" s="1166"/>
      <c r="AN82" s="1166"/>
      <c r="AO82" s="1166"/>
      <c r="AP82" s="1166"/>
      <c r="AQ82" s="1166"/>
      <c r="AR82" s="1166"/>
      <c r="AS82" s="1166"/>
      <c r="AT82" s="1166"/>
      <c r="AU82" s="1166"/>
      <c r="AV82" s="1166"/>
      <c r="AW82" s="1166"/>
      <c r="AX82" s="1166"/>
      <c r="AY82" s="1166"/>
      <c r="AZ82" s="1166"/>
      <c r="BA82" s="1166"/>
      <c r="BB82" s="1166"/>
      <c r="BC82" s="1166"/>
      <c r="BD82" s="1166"/>
      <c r="BE82" s="1166"/>
      <c r="BF82" s="1166"/>
      <c r="BG82" s="1166"/>
      <c r="BH82" s="1166"/>
      <c r="BI82" s="1166"/>
      <c r="BJ82" s="1166"/>
      <c r="BK82" s="1166"/>
      <c r="BL82" s="1166"/>
      <c r="BM82" s="1166"/>
      <c r="BN82" s="1166"/>
      <c r="BO82" s="1166"/>
      <c r="BP82" s="1166"/>
      <c r="BQ82" s="1166"/>
      <c r="BR82" s="1166"/>
      <c r="BS82" s="1166"/>
      <c r="BT82" s="1166"/>
      <c r="BU82" s="1166"/>
      <c r="BV82" s="1166"/>
      <c r="BW82" s="1166"/>
      <c r="BX82" s="1166"/>
      <c r="BY82" s="1166"/>
      <c r="BZ82" s="1166"/>
      <c r="CA82" s="1166"/>
      <c r="CB82" s="1166"/>
    </row>
    <row r="83" spans="1:80" s="1156" customFormat="1" x14ac:dyDescent="0.3">
      <c r="A83" s="1154"/>
      <c r="B83" s="1162">
        <v>294</v>
      </c>
      <c r="C83" s="1151" t="s">
        <v>918</v>
      </c>
      <c r="D83" s="1154" t="s">
        <v>397</v>
      </c>
      <c r="E83" s="1164"/>
      <c r="F83" s="1165"/>
      <c r="G83" s="1165"/>
      <c r="H83" s="1165"/>
      <c r="I83" s="1165"/>
      <c r="J83" s="1165"/>
      <c r="K83" s="1165"/>
      <c r="L83" s="1166"/>
      <c r="M83" s="1166"/>
      <c r="N83" s="1166"/>
      <c r="O83" s="1166"/>
      <c r="P83" s="1166"/>
      <c r="Q83" s="1166"/>
      <c r="R83" s="1166"/>
      <c r="S83" s="1166"/>
      <c r="T83" s="1166"/>
      <c r="U83" s="1166"/>
      <c r="V83" s="1166"/>
      <c r="W83" s="1166"/>
      <c r="X83" s="1166"/>
      <c r="Y83" s="1166"/>
      <c r="Z83" s="1166"/>
      <c r="AA83" s="1166"/>
      <c r="AB83" s="1166"/>
      <c r="AC83" s="1166"/>
      <c r="AD83" s="1166"/>
      <c r="AE83" s="1166"/>
      <c r="AF83" s="1166"/>
      <c r="AG83" s="1166"/>
      <c r="AH83" s="1166"/>
      <c r="AI83" s="1166"/>
      <c r="AJ83" s="1166"/>
      <c r="AK83" s="1166"/>
      <c r="AL83" s="1166"/>
      <c r="AM83" s="1166"/>
      <c r="AN83" s="1166"/>
      <c r="AO83" s="1166"/>
      <c r="AP83" s="1166"/>
      <c r="AQ83" s="1166"/>
      <c r="AR83" s="1166"/>
      <c r="AS83" s="1166"/>
      <c r="AT83" s="1166"/>
      <c r="AU83" s="1166"/>
      <c r="AV83" s="1166"/>
      <c r="AW83" s="1166"/>
      <c r="AX83" s="1166"/>
      <c r="AY83" s="1166"/>
      <c r="AZ83" s="1166"/>
      <c r="BA83" s="1166"/>
      <c r="BB83" s="1166"/>
      <c r="BC83" s="1166"/>
      <c r="BD83" s="1166"/>
      <c r="BE83" s="1166"/>
      <c r="BF83" s="1166"/>
      <c r="BG83" s="1166"/>
      <c r="BH83" s="1166"/>
      <c r="BI83" s="1166"/>
      <c r="BJ83" s="1166"/>
      <c r="BK83" s="1166"/>
      <c r="BL83" s="1166"/>
      <c r="BM83" s="1166"/>
      <c r="BN83" s="1166"/>
      <c r="BO83" s="1166"/>
      <c r="BP83" s="1166"/>
      <c r="BQ83" s="1166"/>
      <c r="BR83" s="1166"/>
      <c r="BS83" s="1166"/>
      <c r="BT83" s="1166"/>
      <c r="BU83" s="1166"/>
      <c r="BV83" s="1166"/>
      <c r="BW83" s="1166"/>
      <c r="BX83" s="1166"/>
      <c r="BY83" s="1166"/>
      <c r="BZ83" s="1166"/>
      <c r="CA83" s="1166"/>
      <c r="CB83" s="1166"/>
    </row>
    <row r="84" spans="1:80" s="1156" customFormat="1" ht="27.6" x14ac:dyDescent="0.3">
      <c r="A84" s="1154"/>
      <c r="B84" s="1162">
        <v>314</v>
      </c>
      <c r="C84" s="1151" t="s">
        <v>398</v>
      </c>
      <c r="D84" s="1154" t="s">
        <v>399</v>
      </c>
      <c r="E84" s="1164"/>
      <c r="F84" s="1165"/>
      <c r="G84" s="1165"/>
      <c r="H84" s="1165"/>
      <c r="I84" s="1165"/>
      <c r="J84" s="1165"/>
      <c r="K84" s="1165"/>
      <c r="L84" s="1166"/>
      <c r="M84" s="1166"/>
      <c r="N84" s="1166"/>
      <c r="O84" s="1166"/>
      <c r="P84" s="1166"/>
      <c r="Q84" s="1166"/>
      <c r="R84" s="1166"/>
      <c r="S84" s="1166"/>
      <c r="T84" s="1166"/>
      <c r="U84" s="1166"/>
      <c r="V84" s="1166"/>
      <c r="W84" s="1166"/>
      <c r="X84" s="1166"/>
      <c r="Y84" s="1166"/>
      <c r="Z84" s="1166"/>
      <c r="AA84" s="1166"/>
      <c r="AB84" s="1166"/>
      <c r="AC84" s="1166"/>
      <c r="AD84" s="1166"/>
      <c r="AE84" s="1166"/>
      <c r="AF84" s="1166"/>
      <c r="AG84" s="1166"/>
      <c r="AH84" s="1166"/>
      <c r="AI84" s="1166"/>
      <c r="AJ84" s="1166"/>
      <c r="AK84" s="1166"/>
      <c r="AL84" s="1166"/>
      <c r="AM84" s="1166"/>
      <c r="AN84" s="1166"/>
      <c r="AO84" s="1166"/>
      <c r="AP84" s="1166"/>
      <c r="AQ84" s="1166"/>
      <c r="AR84" s="1166"/>
      <c r="AS84" s="1166"/>
      <c r="AT84" s="1166"/>
      <c r="AU84" s="1166"/>
      <c r="AV84" s="1166"/>
      <c r="AW84" s="1166"/>
      <c r="AX84" s="1166"/>
      <c r="AY84" s="1166"/>
      <c r="AZ84" s="1166"/>
      <c r="BA84" s="1166"/>
      <c r="BB84" s="1166"/>
      <c r="BC84" s="1166"/>
      <c r="BD84" s="1166"/>
      <c r="BE84" s="1166"/>
      <c r="BF84" s="1166"/>
      <c r="BG84" s="1166"/>
      <c r="BH84" s="1166"/>
      <c r="BI84" s="1166"/>
      <c r="BJ84" s="1166"/>
      <c r="BK84" s="1166"/>
      <c r="BL84" s="1166"/>
      <c r="BM84" s="1166"/>
      <c r="BN84" s="1166"/>
      <c r="BO84" s="1166"/>
      <c r="BP84" s="1166"/>
      <c r="BQ84" s="1166"/>
      <c r="BR84" s="1166"/>
      <c r="BS84" s="1166"/>
      <c r="BT84" s="1166"/>
      <c r="BU84" s="1166"/>
      <c r="BV84" s="1166"/>
      <c r="BW84" s="1166"/>
      <c r="BX84" s="1166"/>
      <c r="BY84" s="1166"/>
      <c r="BZ84" s="1166"/>
      <c r="CA84" s="1166"/>
      <c r="CB84" s="1166"/>
    </row>
    <row r="85" spans="1:80" s="1156" customFormat="1" ht="27.6" x14ac:dyDescent="0.3">
      <c r="A85" s="1154"/>
      <c r="B85" s="1162">
        <v>315</v>
      </c>
      <c r="C85" s="1151" t="s">
        <v>400</v>
      </c>
      <c r="D85" s="1154" t="s">
        <v>401</v>
      </c>
      <c r="E85" s="1164"/>
      <c r="F85" s="1165"/>
      <c r="G85" s="1165"/>
      <c r="H85" s="1165"/>
      <c r="I85" s="1165"/>
      <c r="J85" s="1165"/>
      <c r="K85" s="1165"/>
      <c r="L85" s="1166"/>
      <c r="M85" s="1166"/>
      <c r="N85" s="1166"/>
      <c r="O85" s="1166"/>
      <c r="P85" s="1166"/>
      <c r="Q85" s="1166"/>
      <c r="R85" s="1166"/>
      <c r="S85" s="1166"/>
      <c r="T85" s="1166"/>
      <c r="U85" s="1166"/>
      <c r="V85" s="1166"/>
      <c r="W85" s="1166"/>
      <c r="X85" s="1166"/>
      <c r="Y85" s="1166"/>
      <c r="Z85" s="1166"/>
      <c r="AA85" s="1166"/>
      <c r="AB85" s="1166"/>
      <c r="AC85" s="1166"/>
      <c r="AD85" s="1166"/>
      <c r="AE85" s="1166"/>
      <c r="AF85" s="1166"/>
      <c r="AG85" s="1166"/>
      <c r="AH85" s="1166"/>
      <c r="AI85" s="1166"/>
      <c r="AJ85" s="1166"/>
      <c r="AK85" s="1166"/>
      <c r="AL85" s="1166"/>
      <c r="AM85" s="1166"/>
      <c r="AN85" s="1166"/>
      <c r="AO85" s="1166"/>
      <c r="AP85" s="1166"/>
      <c r="AQ85" s="1166"/>
      <c r="AR85" s="1166"/>
      <c r="AS85" s="1166"/>
      <c r="AT85" s="1166"/>
      <c r="AU85" s="1166"/>
      <c r="AV85" s="1166"/>
      <c r="AW85" s="1166"/>
      <c r="AX85" s="1166"/>
      <c r="AY85" s="1166"/>
      <c r="AZ85" s="1166"/>
      <c r="BA85" s="1166"/>
      <c r="BB85" s="1166"/>
      <c r="BC85" s="1166"/>
      <c r="BD85" s="1166"/>
      <c r="BE85" s="1166"/>
      <c r="BF85" s="1166"/>
      <c r="BG85" s="1166"/>
      <c r="BH85" s="1166"/>
      <c r="BI85" s="1166"/>
      <c r="BJ85" s="1166"/>
      <c r="BK85" s="1166"/>
      <c r="BL85" s="1166"/>
      <c r="BM85" s="1166"/>
      <c r="BN85" s="1166"/>
      <c r="BO85" s="1166"/>
      <c r="BP85" s="1166"/>
      <c r="BQ85" s="1166"/>
      <c r="BR85" s="1166"/>
      <c r="BS85" s="1166"/>
      <c r="BT85" s="1166"/>
      <c r="BU85" s="1166"/>
      <c r="BV85" s="1166"/>
      <c r="BW85" s="1166"/>
      <c r="BX85" s="1166"/>
      <c r="BY85" s="1166"/>
      <c r="BZ85" s="1166"/>
      <c r="CA85" s="1166"/>
      <c r="CB85" s="1166"/>
    </row>
    <row r="86" spans="1:80" s="1156" customFormat="1" x14ac:dyDescent="0.3">
      <c r="A86" s="1154"/>
      <c r="B86" s="1162">
        <v>316</v>
      </c>
      <c r="C86" s="1151" t="s">
        <v>402</v>
      </c>
      <c r="D86" s="1154" t="s">
        <v>403</v>
      </c>
      <c r="E86" s="1164"/>
      <c r="F86" s="1165"/>
      <c r="G86" s="1165"/>
      <c r="H86" s="1165"/>
      <c r="I86" s="1165"/>
      <c r="J86" s="1165"/>
      <c r="K86" s="1165"/>
      <c r="L86" s="1166"/>
      <c r="M86" s="1166"/>
      <c r="N86" s="1166"/>
      <c r="O86" s="1166"/>
      <c r="P86" s="1166"/>
      <c r="Q86" s="1166"/>
      <c r="R86" s="1166"/>
      <c r="S86" s="1166"/>
      <c r="T86" s="1166"/>
      <c r="U86" s="1166"/>
      <c r="V86" s="1166"/>
      <c r="W86" s="1166"/>
      <c r="X86" s="1166"/>
      <c r="Y86" s="1166"/>
      <c r="Z86" s="1166"/>
      <c r="AA86" s="1166"/>
      <c r="AB86" s="1166"/>
      <c r="AC86" s="1166"/>
      <c r="AD86" s="1166"/>
      <c r="AE86" s="1166"/>
      <c r="AF86" s="1166"/>
      <c r="AG86" s="1166"/>
      <c r="AH86" s="1166"/>
      <c r="AI86" s="1166"/>
      <c r="AJ86" s="1166"/>
      <c r="AK86" s="1166"/>
      <c r="AL86" s="1166"/>
      <c r="AM86" s="1166"/>
      <c r="AN86" s="1166"/>
      <c r="AO86" s="1166"/>
      <c r="AP86" s="1166"/>
      <c r="AQ86" s="1166"/>
      <c r="AR86" s="1166"/>
      <c r="AS86" s="1166"/>
      <c r="AT86" s="1166"/>
      <c r="AU86" s="1166"/>
      <c r="AV86" s="1166"/>
      <c r="AW86" s="1166"/>
      <c r="AX86" s="1166"/>
      <c r="AY86" s="1166"/>
      <c r="AZ86" s="1166"/>
      <c r="BA86" s="1166"/>
      <c r="BB86" s="1166"/>
      <c r="BC86" s="1166"/>
      <c r="BD86" s="1166"/>
      <c r="BE86" s="1166"/>
      <c r="BF86" s="1166"/>
      <c r="BG86" s="1166"/>
      <c r="BH86" s="1166"/>
      <c r="BI86" s="1166"/>
      <c r="BJ86" s="1166"/>
      <c r="BK86" s="1166"/>
      <c r="BL86" s="1166"/>
      <c r="BM86" s="1166"/>
      <c r="BN86" s="1166"/>
      <c r="BO86" s="1166"/>
      <c r="BP86" s="1166"/>
      <c r="BQ86" s="1166"/>
      <c r="BR86" s="1166"/>
      <c r="BS86" s="1166"/>
      <c r="BT86" s="1166"/>
      <c r="BU86" s="1166"/>
      <c r="BV86" s="1166"/>
      <c r="BW86" s="1166"/>
      <c r="BX86" s="1166"/>
      <c r="BY86" s="1166"/>
      <c r="BZ86" s="1166"/>
      <c r="CA86" s="1166"/>
      <c r="CB86" s="1166"/>
    </row>
    <row r="87" spans="1:80" s="1156" customFormat="1" x14ac:dyDescent="0.3">
      <c r="A87" s="1161"/>
      <c r="B87" s="1162">
        <v>320</v>
      </c>
      <c r="C87" s="1163" t="s">
        <v>258</v>
      </c>
      <c r="D87" s="1154" t="s">
        <v>404</v>
      </c>
      <c r="E87" s="1164"/>
      <c r="F87" s="1165"/>
      <c r="G87" s="1165"/>
      <c r="H87" s="1165"/>
      <c r="I87" s="1165"/>
      <c r="J87" s="1165"/>
      <c r="K87" s="1165"/>
      <c r="L87" s="1166"/>
      <c r="M87" s="1166"/>
      <c r="N87" s="1166"/>
      <c r="O87" s="1166"/>
      <c r="P87" s="1166"/>
      <c r="Q87" s="1166"/>
      <c r="R87" s="1166"/>
      <c r="S87" s="1166"/>
      <c r="T87" s="1166"/>
      <c r="U87" s="1166"/>
      <c r="V87" s="1166"/>
      <c r="W87" s="1166"/>
      <c r="X87" s="1166"/>
      <c r="Y87" s="1166"/>
      <c r="Z87" s="1166"/>
      <c r="AA87" s="1166"/>
      <c r="AB87" s="1166"/>
      <c r="AC87" s="1166"/>
      <c r="AD87" s="1166"/>
      <c r="AE87" s="1166"/>
      <c r="AF87" s="1166"/>
      <c r="AG87" s="1166"/>
      <c r="AH87" s="1166"/>
      <c r="AI87" s="1166"/>
      <c r="AJ87" s="1166"/>
      <c r="AK87" s="1166"/>
      <c r="AL87" s="1166"/>
      <c r="AM87" s="1166"/>
      <c r="AN87" s="1166"/>
      <c r="AO87" s="1166"/>
      <c r="AP87" s="1166"/>
      <c r="AQ87" s="1166"/>
      <c r="AR87" s="1166"/>
      <c r="AS87" s="1166"/>
      <c r="AT87" s="1166"/>
      <c r="AU87" s="1166"/>
      <c r="AV87" s="1166"/>
      <c r="AW87" s="1166"/>
      <c r="AX87" s="1166"/>
      <c r="AY87" s="1166"/>
      <c r="AZ87" s="1166"/>
      <c r="BA87" s="1166"/>
      <c r="BB87" s="1166"/>
      <c r="BC87" s="1166"/>
      <c r="BD87" s="1166"/>
      <c r="BE87" s="1166"/>
      <c r="BF87" s="1166"/>
      <c r="BG87" s="1166"/>
      <c r="BH87" s="1166"/>
      <c r="BI87" s="1166"/>
      <c r="BJ87" s="1166"/>
      <c r="BK87" s="1166"/>
      <c r="BL87" s="1166"/>
      <c r="BM87" s="1166"/>
      <c r="BN87" s="1166"/>
      <c r="BO87" s="1166"/>
      <c r="BP87" s="1166"/>
      <c r="BQ87" s="1166"/>
      <c r="BR87" s="1166"/>
      <c r="BS87" s="1166"/>
      <c r="BT87" s="1166"/>
      <c r="BU87" s="1166"/>
      <c r="BV87" s="1166"/>
      <c r="BW87" s="1166"/>
      <c r="BX87" s="1166"/>
      <c r="BY87" s="1166"/>
      <c r="BZ87" s="1166"/>
      <c r="CA87" s="1166"/>
      <c r="CB87" s="1166"/>
    </row>
    <row r="88" spans="1:80" s="1156" customFormat="1" x14ac:dyDescent="0.3">
      <c r="A88" s="1161"/>
      <c r="B88" s="1162">
        <v>321</v>
      </c>
      <c r="C88" s="1163" t="s">
        <v>919</v>
      </c>
      <c r="D88" s="1154" t="s">
        <v>405</v>
      </c>
      <c r="E88" s="1164"/>
      <c r="F88" s="1165"/>
      <c r="G88" s="1165"/>
      <c r="H88" s="1165"/>
      <c r="I88" s="1165"/>
      <c r="J88" s="1165"/>
      <c r="K88" s="1165"/>
      <c r="L88" s="1166"/>
      <c r="M88" s="1166"/>
      <c r="N88" s="1166"/>
      <c r="O88" s="1166"/>
      <c r="P88" s="1166"/>
      <c r="Q88" s="1166"/>
      <c r="R88" s="1166"/>
      <c r="S88" s="1166"/>
      <c r="T88" s="1166"/>
      <c r="U88" s="1166"/>
      <c r="V88" s="1166"/>
      <c r="W88" s="1166"/>
      <c r="X88" s="1166"/>
      <c r="Y88" s="1166"/>
      <c r="Z88" s="1166"/>
      <c r="AA88" s="1166"/>
      <c r="AB88" s="1166"/>
      <c r="AC88" s="1166"/>
      <c r="AD88" s="1166"/>
      <c r="AE88" s="1166"/>
      <c r="AF88" s="1166"/>
      <c r="AG88" s="1166"/>
      <c r="AH88" s="1166"/>
      <c r="AI88" s="1166"/>
      <c r="AJ88" s="1166"/>
      <c r="AK88" s="1166"/>
      <c r="AL88" s="1166"/>
      <c r="AM88" s="1166"/>
      <c r="AN88" s="1166"/>
      <c r="AO88" s="1166"/>
      <c r="AP88" s="1166"/>
      <c r="AQ88" s="1166"/>
      <c r="AR88" s="1166"/>
      <c r="AS88" s="1166"/>
      <c r="AT88" s="1166"/>
      <c r="AU88" s="1166"/>
      <c r="AV88" s="1166"/>
      <c r="AW88" s="1166"/>
      <c r="AX88" s="1166"/>
      <c r="AY88" s="1166"/>
      <c r="AZ88" s="1166"/>
      <c r="BA88" s="1166"/>
      <c r="BB88" s="1166"/>
      <c r="BC88" s="1166"/>
      <c r="BD88" s="1166"/>
      <c r="BE88" s="1166"/>
      <c r="BF88" s="1166"/>
      <c r="BG88" s="1166"/>
      <c r="BH88" s="1166"/>
      <c r="BI88" s="1166"/>
      <c r="BJ88" s="1166"/>
      <c r="BK88" s="1166"/>
      <c r="BL88" s="1166"/>
      <c r="BM88" s="1166"/>
      <c r="BN88" s="1166"/>
      <c r="BO88" s="1166"/>
      <c r="BP88" s="1166"/>
      <c r="BQ88" s="1166"/>
      <c r="BR88" s="1166"/>
      <c r="BS88" s="1166"/>
      <c r="BT88" s="1166"/>
      <c r="BU88" s="1166"/>
      <c r="BV88" s="1166"/>
      <c r="BW88" s="1166"/>
      <c r="BX88" s="1166"/>
      <c r="BY88" s="1166"/>
      <c r="BZ88" s="1166"/>
      <c r="CA88" s="1166"/>
      <c r="CB88" s="1166"/>
    </row>
    <row r="89" spans="1:80" s="1156" customFormat="1" x14ac:dyDescent="0.3">
      <c r="A89" s="1161"/>
      <c r="B89" s="1162">
        <v>322</v>
      </c>
      <c r="C89" s="1163" t="s">
        <v>260</v>
      </c>
      <c r="D89" s="1154" t="s">
        <v>406</v>
      </c>
      <c r="E89" s="1164"/>
      <c r="F89" s="1165"/>
      <c r="G89" s="1165"/>
      <c r="H89" s="1165"/>
      <c r="I89" s="1165"/>
      <c r="J89" s="1165"/>
      <c r="K89" s="1165"/>
      <c r="L89" s="1166"/>
      <c r="M89" s="1166"/>
      <c r="N89" s="1166"/>
      <c r="O89" s="1166"/>
      <c r="P89" s="1166"/>
      <c r="Q89" s="1166"/>
      <c r="R89" s="1166"/>
      <c r="S89" s="1166"/>
      <c r="T89" s="1166"/>
      <c r="U89" s="1166"/>
      <c r="V89" s="1166"/>
      <c r="W89" s="1166"/>
      <c r="X89" s="1166"/>
      <c r="Y89" s="1166"/>
      <c r="Z89" s="1166"/>
      <c r="AA89" s="1166"/>
      <c r="AB89" s="1166"/>
      <c r="AC89" s="1166"/>
      <c r="AD89" s="1166"/>
      <c r="AE89" s="1166"/>
      <c r="AF89" s="1166"/>
      <c r="AG89" s="1166"/>
      <c r="AH89" s="1166"/>
      <c r="AI89" s="1166"/>
      <c r="AJ89" s="1166"/>
      <c r="AK89" s="1166"/>
      <c r="AL89" s="1166"/>
      <c r="AM89" s="1166"/>
      <c r="AN89" s="1166"/>
      <c r="AO89" s="1166"/>
      <c r="AP89" s="1166"/>
      <c r="AQ89" s="1166"/>
      <c r="AR89" s="1166"/>
      <c r="AS89" s="1166"/>
      <c r="AT89" s="1166"/>
      <c r="AU89" s="1166"/>
      <c r="AV89" s="1166"/>
      <c r="AW89" s="1166"/>
      <c r="AX89" s="1166"/>
      <c r="AY89" s="1166"/>
      <c r="AZ89" s="1166"/>
      <c r="BA89" s="1166"/>
      <c r="BB89" s="1166"/>
      <c r="BC89" s="1166"/>
      <c r="BD89" s="1166"/>
      <c r="BE89" s="1166"/>
      <c r="BF89" s="1166"/>
      <c r="BG89" s="1166"/>
      <c r="BH89" s="1166"/>
      <c r="BI89" s="1166"/>
      <c r="BJ89" s="1166"/>
      <c r="BK89" s="1166"/>
      <c r="BL89" s="1166"/>
      <c r="BM89" s="1166"/>
      <c r="BN89" s="1166"/>
      <c r="BO89" s="1166"/>
      <c r="BP89" s="1166"/>
      <c r="BQ89" s="1166"/>
      <c r="BR89" s="1166"/>
      <c r="BS89" s="1166"/>
      <c r="BT89" s="1166"/>
      <c r="BU89" s="1166"/>
      <c r="BV89" s="1166"/>
      <c r="BW89" s="1166"/>
      <c r="BX89" s="1166"/>
      <c r="BY89" s="1166"/>
      <c r="BZ89" s="1166"/>
      <c r="CA89" s="1166"/>
      <c r="CB89" s="1166"/>
    </row>
    <row r="90" spans="1:80" s="1156" customFormat="1" x14ac:dyDescent="0.3">
      <c r="A90" s="1161"/>
      <c r="B90" s="1162">
        <v>323</v>
      </c>
      <c r="C90" s="1163" t="s">
        <v>259</v>
      </c>
      <c r="D90" s="1154" t="s">
        <v>407</v>
      </c>
      <c r="E90" s="1164"/>
      <c r="F90" s="1165"/>
      <c r="G90" s="1165"/>
      <c r="H90" s="1165"/>
      <c r="I90" s="1165"/>
      <c r="J90" s="1165"/>
      <c r="K90" s="1165"/>
      <c r="L90" s="1166"/>
      <c r="M90" s="1166"/>
      <c r="N90" s="1166"/>
      <c r="O90" s="1166"/>
      <c r="P90" s="1166"/>
      <c r="Q90" s="1166"/>
      <c r="R90" s="1166"/>
      <c r="S90" s="1166"/>
      <c r="T90" s="1166"/>
      <c r="U90" s="1166"/>
      <c r="V90" s="1166"/>
      <c r="W90" s="1166"/>
      <c r="X90" s="1166"/>
      <c r="Y90" s="1166"/>
      <c r="Z90" s="1166"/>
      <c r="AA90" s="1166"/>
      <c r="AB90" s="1166"/>
      <c r="AC90" s="1166"/>
      <c r="AD90" s="1166"/>
      <c r="AE90" s="1166"/>
      <c r="AF90" s="1166"/>
      <c r="AG90" s="1166"/>
      <c r="AH90" s="1166"/>
      <c r="AI90" s="1166"/>
      <c r="AJ90" s="1166"/>
      <c r="AK90" s="1166"/>
      <c r="AL90" s="1166"/>
      <c r="AM90" s="1166"/>
      <c r="AN90" s="1166"/>
      <c r="AO90" s="1166"/>
      <c r="AP90" s="1166"/>
      <c r="AQ90" s="1166"/>
      <c r="AR90" s="1166"/>
      <c r="AS90" s="1166"/>
      <c r="AT90" s="1166"/>
      <c r="AU90" s="1166"/>
      <c r="AV90" s="1166"/>
      <c r="AW90" s="1166"/>
      <c r="AX90" s="1166"/>
      <c r="AY90" s="1166"/>
      <c r="AZ90" s="1166"/>
      <c r="BA90" s="1166"/>
      <c r="BB90" s="1166"/>
      <c r="BC90" s="1166"/>
      <c r="BD90" s="1166"/>
      <c r="BE90" s="1166"/>
      <c r="BF90" s="1166"/>
      <c r="BG90" s="1166"/>
      <c r="BH90" s="1166"/>
      <c r="BI90" s="1166"/>
      <c r="BJ90" s="1166"/>
      <c r="BK90" s="1166"/>
      <c r="BL90" s="1166"/>
      <c r="BM90" s="1166"/>
      <c r="BN90" s="1166"/>
      <c r="BO90" s="1166"/>
      <c r="BP90" s="1166"/>
      <c r="BQ90" s="1166"/>
      <c r="BR90" s="1166"/>
      <c r="BS90" s="1166"/>
      <c r="BT90" s="1166"/>
      <c r="BU90" s="1166"/>
      <c r="BV90" s="1166"/>
      <c r="BW90" s="1166"/>
      <c r="BX90" s="1166"/>
      <c r="BY90" s="1166"/>
      <c r="BZ90" s="1166"/>
      <c r="CA90" s="1166"/>
      <c r="CB90" s="1166"/>
    </row>
    <row r="91" spans="1:80" s="1156" customFormat="1" x14ac:dyDescent="0.3">
      <c r="A91" s="1161"/>
      <c r="B91" s="1162">
        <v>324</v>
      </c>
      <c r="C91" s="1163" t="s">
        <v>257</v>
      </c>
      <c r="D91" s="1154" t="s">
        <v>408</v>
      </c>
      <c r="E91" s="1164"/>
      <c r="F91" s="1165"/>
      <c r="G91" s="1165"/>
      <c r="H91" s="1165"/>
      <c r="I91" s="1165"/>
      <c r="J91" s="1165"/>
      <c r="K91" s="1165"/>
      <c r="L91" s="1166"/>
      <c r="M91" s="1166"/>
      <c r="N91" s="1166"/>
      <c r="O91" s="1166"/>
      <c r="P91" s="1166"/>
      <c r="Q91" s="1166"/>
      <c r="R91" s="1166"/>
      <c r="S91" s="1166"/>
      <c r="T91" s="1166"/>
      <c r="U91" s="1166"/>
      <c r="V91" s="1166"/>
      <c r="W91" s="1166"/>
      <c r="X91" s="1166"/>
      <c r="Y91" s="1166"/>
      <c r="Z91" s="1166"/>
      <c r="AA91" s="1166"/>
      <c r="AB91" s="1166"/>
      <c r="AC91" s="1166"/>
      <c r="AD91" s="1166"/>
      <c r="AE91" s="1166"/>
      <c r="AF91" s="1166"/>
      <c r="AG91" s="1166"/>
      <c r="AH91" s="1166"/>
      <c r="AI91" s="1166"/>
      <c r="AJ91" s="1166"/>
      <c r="AK91" s="1166"/>
      <c r="AL91" s="1166"/>
      <c r="AM91" s="1166"/>
      <c r="AN91" s="1166"/>
      <c r="AO91" s="1166"/>
      <c r="AP91" s="1166"/>
      <c r="AQ91" s="1166"/>
      <c r="AR91" s="1166"/>
      <c r="AS91" s="1166"/>
      <c r="AT91" s="1166"/>
      <c r="AU91" s="1166"/>
      <c r="AV91" s="1166"/>
      <c r="AW91" s="1166"/>
      <c r="AX91" s="1166"/>
      <c r="AY91" s="1166"/>
      <c r="AZ91" s="1166"/>
      <c r="BA91" s="1166"/>
      <c r="BB91" s="1166"/>
      <c r="BC91" s="1166"/>
      <c r="BD91" s="1166"/>
      <c r="BE91" s="1166"/>
      <c r="BF91" s="1166"/>
      <c r="BG91" s="1166"/>
      <c r="BH91" s="1166"/>
      <c r="BI91" s="1166"/>
      <c r="BJ91" s="1166"/>
      <c r="BK91" s="1166"/>
      <c r="BL91" s="1166"/>
      <c r="BM91" s="1166"/>
      <c r="BN91" s="1166"/>
      <c r="BO91" s="1166"/>
      <c r="BP91" s="1166"/>
      <c r="BQ91" s="1166"/>
      <c r="BR91" s="1166"/>
      <c r="BS91" s="1166"/>
      <c r="BT91" s="1166"/>
      <c r="BU91" s="1166"/>
      <c r="BV91" s="1166"/>
      <c r="BW91" s="1166"/>
      <c r="BX91" s="1166"/>
      <c r="BY91" s="1166"/>
      <c r="BZ91" s="1166"/>
      <c r="CA91" s="1166"/>
      <c r="CB91" s="1166"/>
    </row>
    <row r="92" spans="1:80" s="1156" customFormat="1" x14ac:dyDescent="0.3">
      <c r="A92" s="1161"/>
      <c r="B92" s="1162">
        <v>325</v>
      </c>
      <c r="C92" s="1163" t="s">
        <v>261</v>
      </c>
      <c r="D92" s="1154" t="s">
        <v>409</v>
      </c>
      <c r="E92" s="1169"/>
      <c r="F92" s="1170"/>
      <c r="G92" s="1170"/>
      <c r="H92" s="1170"/>
      <c r="I92" s="1170"/>
      <c r="J92" s="1170"/>
      <c r="K92" s="1170"/>
      <c r="L92" s="1171"/>
      <c r="M92" s="1171"/>
      <c r="N92" s="1171"/>
      <c r="O92" s="1171"/>
      <c r="P92" s="1171"/>
      <c r="Q92" s="1171"/>
      <c r="R92" s="1171"/>
      <c r="S92" s="1171"/>
      <c r="T92" s="1171"/>
      <c r="U92" s="1171"/>
      <c r="V92" s="1171"/>
      <c r="W92" s="1171"/>
      <c r="X92" s="1171"/>
      <c r="Y92" s="1171"/>
      <c r="Z92" s="1171"/>
      <c r="AA92" s="1171"/>
      <c r="AB92" s="1171"/>
      <c r="AC92" s="1171"/>
      <c r="AD92" s="1171"/>
      <c r="AE92" s="1171"/>
      <c r="AF92" s="1171"/>
      <c r="AG92" s="1171"/>
      <c r="AH92" s="1171"/>
      <c r="AI92" s="1171"/>
      <c r="AJ92" s="1171"/>
      <c r="AK92" s="1171"/>
      <c r="AL92" s="1171"/>
      <c r="AM92" s="1171"/>
      <c r="AN92" s="1171"/>
      <c r="AO92" s="1171"/>
      <c r="AP92" s="1171"/>
      <c r="AQ92" s="1171"/>
      <c r="AR92" s="1171"/>
      <c r="AS92" s="1171"/>
      <c r="AT92" s="1171"/>
      <c r="AU92" s="1171"/>
      <c r="AV92" s="1171"/>
      <c r="AW92" s="1171"/>
      <c r="AX92" s="1171"/>
      <c r="AY92" s="1171"/>
      <c r="AZ92" s="1171"/>
      <c r="BA92" s="1171"/>
      <c r="BB92" s="1171"/>
      <c r="BC92" s="1171"/>
      <c r="BD92" s="1171"/>
      <c r="BE92" s="1171"/>
      <c r="BF92" s="1171"/>
      <c r="BG92" s="1171"/>
      <c r="BH92" s="1171"/>
      <c r="BI92" s="1171"/>
      <c r="BJ92" s="1171"/>
      <c r="BK92" s="1171"/>
      <c r="BL92" s="1171"/>
      <c r="BM92" s="1171"/>
      <c r="BN92" s="1171"/>
      <c r="BO92" s="1171"/>
      <c r="BP92" s="1171"/>
      <c r="BQ92" s="1171"/>
      <c r="BR92" s="1171"/>
      <c r="BS92" s="1171"/>
      <c r="BT92" s="1171"/>
      <c r="BU92" s="1171"/>
      <c r="BV92" s="1171"/>
      <c r="BW92" s="1171"/>
      <c r="BX92" s="1171"/>
      <c r="BY92" s="1171"/>
      <c r="BZ92" s="1171"/>
      <c r="CA92" s="1171"/>
      <c r="CB92" s="1171"/>
    </row>
    <row r="93" spans="1:80" s="1156" customFormat="1" x14ac:dyDescent="0.3">
      <c r="A93" s="1154"/>
      <c r="B93" s="1162">
        <v>326</v>
      </c>
      <c r="C93" s="1163" t="s">
        <v>705</v>
      </c>
      <c r="D93" s="1154" t="s">
        <v>410</v>
      </c>
      <c r="E93" s="1164"/>
      <c r="F93" s="1165"/>
      <c r="G93" s="1165"/>
      <c r="H93" s="1165"/>
      <c r="I93" s="1165"/>
      <c r="J93" s="1165"/>
      <c r="K93" s="1165"/>
      <c r="L93" s="1166"/>
      <c r="M93" s="1166"/>
      <c r="N93" s="1166"/>
      <c r="O93" s="1166"/>
      <c r="P93" s="1166"/>
      <c r="Q93" s="1166"/>
      <c r="R93" s="1166"/>
      <c r="S93" s="1166"/>
      <c r="T93" s="1166"/>
      <c r="U93" s="1166"/>
      <c r="V93" s="1166"/>
      <c r="W93" s="1166"/>
      <c r="X93" s="1166"/>
      <c r="Y93" s="1166"/>
      <c r="Z93" s="1166"/>
      <c r="AA93" s="1166"/>
      <c r="AB93" s="1166"/>
      <c r="AC93" s="1166"/>
      <c r="AD93" s="1166"/>
      <c r="AE93" s="1166"/>
      <c r="AF93" s="1166"/>
      <c r="AG93" s="1166"/>
      <c r="AH93" s="1166"/>
      <c r="AI93" s="1166"/>
      <c r="AJ93" s="1166"/>
      <c r="AK93" s="1166"/>
      <c r="AL93" s="1166"/>
      <c r="AM93" s="1166"/>
      <c r="AN93" s="1166"/>
      <c r="AO93" s="1166"/>
      <c r="AP93" s="1166"/>
      <c r="AQ93" s="1166"/>
      <c r="AR93" s="1166"/>
      <c r="AS93" s="1166"/>
      <c r="AT93" s="1166"/>
      <c r="AU93" s="1166"/>
      <c r="AV93" s="1166"/>
      <c r="AW93" s="1166"/>
      <c r="AX93" s="1166"/>
      <c r="AY93" s="1166"/>
      <c r="AZ93" s="1166"/>
      <c r="BA93" s="1166"/>
      <c r="BB93" s="1166"/>
      <c r="BC93" s="1166"/>
      <c r="BD93" s="1166"/>
      <c r="BE93" s="1166"/>
      <c r="BF93" s="1166"/>
      <c r="BG93" s="1166"/>
      <c r="BH93" s="1166"/>
      <c r="BI93" s="1166"/>
      <c r="BJ93" s="1166"/>
      <c r="BK93" s="1166"/>
      <c r="BL93" s="1166"/>
      <c r="BM93" s="1166"/>
      <c r="BN93" s="1166"/>
      <c r="BO93" s="1166"/>
      <c r="BP93" s="1166"/>
      <c r="BQ93" s="1166"/>
      <c r="BR93" s="1166"/>
      <c r="BS93" s="1166"/>
      <c r="BT93" s="1166"/>
      <c r="BU93" s="1166"/>
      <c r="BV93" s="1166"/>
      <c r="BW93" s="1166"/>
      <c r="BX93" s="1166"/>
      <c r="BY93" s="1166"/>
      <c r="BZ93" s="1166"/>
      <c r="CA93" s="1166"/>
      <c r="CB93" s="1166"/>
    </row>
    <row r="94" spans="1:80" s="1156" customFormat="1" x14ac:dyDescent="0.3">
      <c r="A94" s="1161">
        <v>327</v>
      </c>
      <c r="B94" s="1162">
        <v>327</v>
      </c>
      <c r="C94" s="1163" t="s">
        <v>635</v>
      </c>
      <c r="D94" s="1154" t="s">
        <v>411</v>
      </c>
      <c r="E94" s="1164">
        <v>781861</v>
      </c>
      <c r="F94" s="1165">
        <v>0</v>
      </c>
      <c r="G94" s="1165">
        <v>0</v>
      </c>
      <c r="H94" s="1165">
        <v>5287537</v>
      </c>
      <c r="I94" s="1165">
        <v>0</v>
      </c>
      <c r="J94" s="1165">
        <v>16104</v>
      </c>
      <c r="K94" s="1165">
        <v>215245</v>
      </c>
      <c r="L94" s="1166">
        <v>72530</v>
      </c>
      <c r="M94" s="1166">
        <v>839066</v>
      </c>
      <c r="N94" s="1166">
        <v>0</v>
      </c>
      <c r="O94" s="1166">
        <v>6500</v>
      </c>
      <c r="P94" s="1166">
        <v>28000</v>
      </c>
      <c r="Q94" s="1166">
        <v>0</v>
      </c>
      <c r="R94" s="1166">
        <v>224814</v>
      </c>
      <c r="S94" s="1166">
        <v>628152</v>
      </c>
      <c r="T94" s="1166">
        <v>7174055</v>
      </c>
      <c r="U94" s="1166">
        <v>0</v>
      </c>
      <c r="V94" s="1166">
        <v>1020263</v>
      </c>
      <c r="W94" s="1166">
        <v>0</v>
      </c>
      <c r="X94" s="1166">
        <v>0</v>
      </c>
      <c r="Y94" s="1166">
        <v>0</v>
      </c>
      <c r="Z94" s="1166">
        <v>20697</v>
      </c>
      <c r="AA94" s="1166">
        <v>441230</v>
      </c>
      <c r="AB94" s="1166">
        <v>32300</v>
      </c>
      <c r="AC94" s="1166">
        <v>0</v>
      </c>
      <c r="AD94" s="1166">
        <v>0</v>
      </c>
      <c r="AE94" s="1166">
        <v>152665</v>
      </c>
      <c r="AF94" s="1166">
        <v>38510</v>
      </c>
      <c r="AG94" s="1166">
        <v>10300</v>
      </c>
      <c r="AH94" s="1166">
        <v>0</v>
      </c>
      <c r="AI94" s="1166">
        <v>0</v>
      </c>
      <c r="AJ94" s="1166">
        <v>46201</v>
      </c>
      <c r="AK94" s="1166">
        <v>474294</v>
      </c>
      <c r="AL94" s="1166">
        <v>96430</v>
      </c>
      <c r="AM94" s="1166">
        <v>0</v>
      </c>
      <c r="AN94" s="1166">
        <v>75739</v>
      </c>
      <c r="AO94" s="1166">
        <v>1226471</v>
      </c>
      <c r="AP94" s="1166">
        <v>2951</v>
      </c>
      <c r="AQ94" s="1166">
        <v>0</v>
      </c>
      <c r="AR94" s="1166">
        <v>866590</v>
      </c>
      <c r="AS94" s="1166">
        <v>39677</v>
      </c>
      <c r="AT94" s="1166">
        <v>14900</v>
      </c>
      <c r="AU94" s="1166">
        <v>149857</v>
      </c>
      <c r="AV94" s="1166">
        <v>122600</v>
      </c>
      <c r="AW94" s="1166">
        <v>0</v>
      </c>
      <c r="AX94" s="1166">
        <v>1500</v>
      </c>
      <c r="AY94" s="1166">
        <v>0</v>
      </c>
      <c r="AZ94" s="1166">
        <v>0</v>
      </c>
      <c r="BA94" s="1166">
        <v>15485</v>
      </c>
      <c r="BB94" s="1166">
        <v>0</v>
      </c>
      <c r="BC94" s="1166">
        <v>15000</v>
      </c>
      <c r="BD94" s="1166">
        <v>0</v>
      </c>
      <c r="BE94" s="1166">
        <v>0</v>
      </c>
      <c r="BF94" s="1166">
        <v>741714</v>
      </c>
      <c r="BG94" s="1166">
        <v>0</v>
      </c>
      <c r="BH94" s="1166">
        <v>0</v>
      </c>
      <c r="BI94" s="1166">
        <v>43326</v>
      </c>
      <c r="BJ94" s="1166">
        <v>125250</v>
      </c>
      <c r="BK94" s="1166">
        <v>13600</v>
      </c>
      <c r="BL94" s="1166">
        <v>186016</v>
      </c>
      <c r="BM94" s="1166">
        <v>229735</v>
      </c>
      <c r="BN94" s="1166">
        <v>0</v>
      </c>
      <c r="BO94" s="1166">
        <v>101245</v>
      </c>
      <c r="BP94" s="1166">
        <v>82273</v>
      </c>
      <c r="BQ94" s="1166">
        <v>62472</v>
      </c>
      <c r="BR94" s="1166">
        <v>25109</v>
      </c>
      <c r="BS94" s="1166">
        <v>0</v>
      </c>
      <c r="BT94" s="1166">
        <v>0</v>
      </c>
      <c r="BU94" s="1166">
        <v>131166</v>
      </c>
      <c r="BV94" s="1166">
        <v>111061</v>
      </c>
      <c r="BW94" s="1166">
        <v>21500</v>
      </c>
      <c r="BX94" s="1166">
        <v>0</v>
      </c>
      <c r="BY94" s="1166">
        <v>0</v>
      </c>
      <c r="BZ94" s="1166">
        <v>0</v>
      </c>
      <c r="CA94" s="1166">
        <v>520198</v>
      </c>
      <c r="CB94" s="1166">
        <v>0</v>
      </c>
    </row>
    <row r="95" spans="1:80" s="1156" customFormat="1" x14ac:dyDescent="0.3">
      <c r="A95" s="1161">
        <v>328</v>
      </c>
      <c r="B95" s="1162">
        <v>328</v>
      </c>
      <c r="C95" s="1163" t="s">
        <v>551</v>
      </c>
      <c r="D95" s="1154" t="s">
        <v>412</v>
      </c>
      <c r="E95" s="1164">
        <v>0</v>
      </c>
      <c r="F95" s="1165">
        <v>0</v>
      </c>
      <c r="G95" s="1165">
        <v>0</v>
      </c>
      <c r="H95" s="1165">
        <v>6382076</v>
      </c>
      <c r="I95" s="1165">
        <v>172674</v>
      </c>
      <c r="J95" s="1165">
        <v>0</v>
      </c>
      <c r="K95" s="1165">
        <v>0</v>
      </c>
      <c r="L95" s="1166">
        <v>183607</v>
      </c>
      <c r="M95" s="1166">
        <v>2824583</v>
      </c>
      <c r="N95" s="1166">
        <v>0</v>
      </c>
      <c r="O95" s="1166">
        <v>78480</v>
      </c>
      <c r="P95" s="1166">
        <v>0</v>
      </c>
      <c r="Q95" s="1166">
        <v>0</v>
      </c>
      <c r="R95" s="1166">
        <v>3040799</v>
      </c>
      <c r="S95" s="1166">
        <v>2107723</v>
      </c>
      <c r="T95" s="1166">
        <v>0</v>
      </c>
      <c r="U95" s="1166">
        <v>0</v>
      </c>
      <c r="V95" s="1166">
        <v>17109200</v>
      </c>
      <c r="W95" s="1166">
        <v>0</v>
      </c>
      <c r="X95" s="1166">
        <v>0</v>
      </c>
      <c r="Y95" s="1166">
        <v>0</v>
      </c>
      <c r="Z95" s="1166">
        <v>1138763</v>
      </c>
      <c r="AA95" s="1166">
        <v>379367</v>
      </c>
      <c r="AB95" s="1166">
        <v>142774</v>
      </c>
      <c r="AC95" s="1166">
        <v>0</v>
      </c>
      <c r="AD95" s="1166">
        <v>0</v>
      </c>
      <c r="AE95" s="1166">
        <v>4500</v>
      </c>
      <c r="AF95" s="1166">
        <v>0</v>
      </c>
      <c r="AG95" s="1166">
        <v>0</v>
      </c>
      <c r="AH95" s="1166">
        <v>0</v>
      </c>
      <c r="AI95" s="1166">
        <v>0</v>
      </c>
      <c r="AJ95" s="1166">
        <v>0</v>
      </c>
      <c r="AK95" s="1166">
        <v>2220994</v>
      </c>
      <c r="AL95" s="1166">
        <v>0</v>
      </c>
      <c r="AM95" s="1166">
        <v>0</v>
      </c>
      <c r="AN95" s="1166">
        <v>7295457</v>
      </c>
      <c r="AO95" s="1166">
        <v>15809399</v>
      </c>
      <c r="AP95" s="1166">
        <v>1560845</v>
      </c>
      <c r="AQ95" s="1166">
        <v>0</v>
      </c>
      <c r="AR95" s="1166">
        <v>117119</v>
      </c>
      <c r="AS95" s="1166">
        <v>201255</v>
      </c>
      <c r="AT95" s="1166">
        <v>0</v>
      </c>
      <c r="AU95" s="1166">
        <v>27500</v>
      </c>
      <c r="AV95" s="1166">
        <v>191771</v>
      </c>
      <c r="AW95" s="1166">
        <v>0</v>
      </c>
      <c r="AX95" s="1166">
        <v>0</v>
      </c>
      <c r="AY95" s="1166">
        <v>566480</v>
      </c>
      <c r="AZ95" s="1166">
        <v>541472</v>
      </c>
      <c r="BA95" s="1166">
        <v>701226</v>
      </c>
      <c r="BB95" s="1166">
        <v>0</v>
      </c>
      <c r="BC95" s="1166">
        <v>35014</v>
      </c>
      <c r="BD95" s="1166">
        <v>0</v>
      </c>
      <c r="BE95" s="1166">
        <v>0</v>
      </c>
      <c r="BF95" s="1166">
        <v>2091222</v>
      </c>
      <c r="BG95" s="1166">
        <v>0</v>
      </c>
      <c r="BH95" s="1166">
        <v>0</v>
      </c>
      <c r="BI95" s="1166">
        <v>0</v>
      </c>
      <c r="BJ95" s="1166">
        <v>22542</v>
      </c>
      <c r="BK95" s="1166">
        <v>18620</v>
      </c>
      <c r="BL95" s="1166">
        <v>1066864</v>
      </c>
      <c r="BM95" s="1166">
        <v>0</v>
      </c>
      <c r="BN95" s="1166">
        <v>0</v>
      </c>
      <c r="BO95" s="1166">
        <v>35710</v>
      </c>
      <c r="BP95" s="1166">
        <v>838401</v>
      </c>
      <c r="BQ95" s="1166">
        <v>0</v>
      </c>
      <c r="BR95" s="1166">
        <v>592648</v>
      </c>
      <c r="BS95" s="1166">
        <v>0</v>
      </c>
      <c r="BT95" s="1166">
        <v>0</v>
      </c>
      <c r="BU95" s="1166">
        <v>176833</v>
      </c>
      <c r="BV95" s="1166">
        <v>402493</v>
      </c>
      <c r="BW95" s="1166">
        <v>1512813</v>
      </c>
      <c r="BX95" s="1166">
        <v>0</v>
      </c>
      <c r="BY95" s="1166">
        <v>0</v>
      </c>
      <c r="BZ95" s="1166">
        <v>0</v>
      </c>
      <c r="CA95" s="1166">
        <v>357724</v>
      </c>
      <c r="CB95" s="1166">
        <v>0</v>
      </c>
    </row>
    <row r="96" spans="1:80" s="1156" customFormat="1" x14ac:dyDescent="0.3">
      <c r="A96" s="1154"/>
      <c r="B96" s="1162">
        <v>330</v>
      </c>
      <c r="C96" s="1163" t="s">
        <v>636</v>
      </c>
      <c r="D96" s="1154" t="s">
        <v>413</v>
      </c>
      <c r="E96" s="1164">
        <v>0</v>
      </c>
      <c r="F96" s="1165">
        <v>0</v>
      </c>
      <c r="G96" s="1165">
        <v>0</v>
      </c>
      <c r="H96" s="1165">
        <v>0</v>
      </c>
      <c r="I96" s="1165">
        <v>0</v>
      </c>
      <c r="J96" s="1165">
        <v>0</v>
      </c>
      <c r="K96" s="1165">
        <v>0</v>
      </c>
      <c r="L96" s="1166">
        <v>0</v>
      </c>
      <c r="M96" s="1166">
        <v>0</v>
      </c>
      <c r="N96" s="1166">
        <v>0</v>
      </c>
      <c r="O96" s="1166">
        <v>0</v>
      </c>
      <c r="P96" s="1166">
        <v>0</v>
      </c>
      <c r="Q96" s="1166">
        <v>0</v>
      </c>
      <c r="R96" s="1166">
        <v>0</v>
      </c>
      <c r="S96" s="1166">
        <v>0</v>
      </c>
      <c r="T96" s="1166">
        <v>0</v>
      </c>
      <c r="U96" s="1166">
        <v>0</v>
      </c>
      <c r="V96" s="1166">
        <v>0</v>
      </c>
      <c r="W96" s="1166">
        <v>0</v>
      </c>
      <c r="X96" s="1166">
        <v>0</v>
      </c>
      <c r="Y96" s="1166">
        <v>0</v>
      </c>
      <c r="Z96" s="1166">
        <v>0</v>
      </c>
      <c r="AA96" s="1166">
        <v>0</v>
      </c>
      <c r="AB96" s="1166">
        <v>0</v>
      </c>
      <c r="AC96" s="1166">
        <v>0</v>
      </c>
      <c r="AD96" s="1166">
        <v>0</v>
      </c>
      <c r="AE96" s="1166">
        <v>0</v>
      </c>
      <c r="AF96" s="1166">
        <v>0</v>
      </c>
      <c r="AG96" s="1166">
        <v>0</v>
      </c>
      <c r="AH96" s="1166">
        <v>0</v>
      </c>
      <c r="AI96" s="1166">
        <v>0</v>
      </c>
      <c r="AJ96" s="1166">
        <v>0</v>
      </c>
      <c r="AK96" s="1166">
        <v>0</v>
      </c>
      <c r="AL96" s="1166">
        <v>0</v>
      </c>
      <c r="AM96" s="1166">
        <v>0</v>
      </c>
      <c r="AN96" s="1166">
        <v>0</v>
      </c>
      <c r="AO96" s="1166">
        <v>0</v>
      </c>
      <c r="AP96" s="1166">
        <v>0</v>
      </c>
      <c r="AQ96" s="1166">
        <v>0</v>
      </c>
      <c r="AR96" s="1166">
        <v>0</v>
      </c>
      <c r="AS96" s="1166">
        <v>0</v>
      </c>
      <c r="AT96" s="1166">
        <v>0</v>
      </c>
      <c r="AU96" s="1166">
        <v>0</v>
      </c>
      <c r="AV96" s="1166">
        <v>0</v>
      </c>
      <c r="AW96" s="1166">
        <v>0</v>
      </c>
      <c r="AX96" s="1166">
        <v>0</v>
      </c>
      <c r="AY96" s="1166">
        <v>0</v>
      </c>
      <c r="AZ96" s="1166">
        <v>0</v>
      </c>
      <c r="BA96" s="1166">
        <v>0</v>
      </c>
      <c r="BB96" s="1166">
        <v>0</v>
      </c>
      <c r="BC96" s="1166">
        <v>0</v>
      </c>
      <c r="BD96" s="1166">
        <v>0</v>
      </c>
      <c r="BE96" s="1166">
        <v>0</v>
      </c>
      <c r="BF96" s="1166">
        <v>0</v>
      </c>
      <c r="BG96" s="1166">
        <v>0</v>
      </c>
      <c r="BH96" s="1166">
        <v>0</v>
      </c>
      <c r="BI96" s="1166">
        <v>0</v>
      </c>
      <c r="BJ96" s="1166">
        <v>0</v>
      </c>
      <c r="BK96" s="1166">
        <v>0</v>
      </c>
      <c r="BL96" s="1166">
        <v>0</v>
      </c>
      <c r="BM96" s="1166">
        <v>0</v>
      </c>
      <c r="BN96" s="1166">
        <v>0</v>
      </c>
      <c r="BO96" s="1166">
        <v>0</v>
      </c>
      <c r="BP96" s="1166">
        <v>0</v>
      </c>
      <c r="BQ96" s="1166">
        <v>0</v>
      </c>
      <c r="BR96" s="1166">
        <v>0</v>
      </c>
      <c r="BS96" s="1166">
        <v>0</v>
      </c>
      <c r="BT96" s="1166">
        <v>0</v>
      </c>
      <c r="BU96" s="1166">
        <v>0</v>
      </c>
      <c r="BV96" s="1166">
        <v>0</v>
      </c>
      <c r="BW96" s="1166">
        <v>0</v>
      </c>
      <c r="BX96" s="1166">
        <v>0</v>
      </c>
      <c r="BY96" s="1166">
        <v>0</v>
      </c>
      <c r="BZ96" s="1166">
        <v>0</v>
      </c>
      <c r="CA96" s="1166">
        <v>0</v>
      </c>
      <c r="CB96" s="1166">
        <v>0</v>
      </c>
    </row>
    <row r="97" spans="1:80" s="1156" customFormat="1" x14ac:dyDescent="0.3">
      <c r="A97" s="1161">
        <v>331</v>
      </c>
      <c r="B97" s="1162">
        <v>331</v>
      </c>
      <c r="C97" s="1163" t="s">
        <v>247</v>
      </c>
      <c r="D97" s="1154" t="s">
        <v>414</v>
      </c>
      <c r="E97" s="1164">
        <v>0</v>
      </c>
      <c r="F97" s="1165">
        <v>0</v>
      </c>
      <c r="G97" s="1165">
        <v>0</v>
      </c>
      <c r="H97" s="1165">
        <v>5446827</v>
      </c>
      <c r="I97" s="1165">
        <v>165984</v>
      </c>
      <c r="J97" s="1165">
        <v>0</v>
      </c>
      <c r="K97" s="1165">
        <v>0</v>
      </c>
      <c r="L97" s="1166">
        <v>50000</v>
      </c>
      <c r="M97" s="1166">
        <v>2990765</v>
      </c>
      <c r="N97" s="1166">
        <v>0</v>
      </c>
      <c r="O97" s="1166">
        <v>15531</v>
      </c>
      <c r="P97" s="1166">
        <v>4953</v>
      </c>
      <c r="Q97" s="1166">
        <v>0</v>
      </c>
      <c r="R97" s="1166">
        <v>2813</v>
      </c>
      <c r="S97" s="1166">
        <v>857879</v>
      </c>
      <c r="T97" s="1166">
        <v>1571489</v>
      </c>
      <c r="U97" s="1166">
        <v>0</v>
      </c>
      <c r="V97" s="1166">
        <v>2703508</v>
      </c>
      <c r="W97" s="1166">
        <v>0</v>
      </c>
      <c r="X97" s="1166">
        <v>0</v>
      </c>
      <c r="Y97" s="1166">
        <v>149579</v>
      </c>
      <c r="Z97" s="1166">
        <v>293078</v>
      </c>
      <c r="AA97" s="1166">
        <v>11971</v>
      </c>
      <c r="AB97" s="1166">
        <v>119944</v>
      </c>
      <c r="AC97" s="1166">
        <v>0</v>
      </c>
      <c r="AD97" s="1166">
        <v>10387</v>
      </c>
      <c r="AE97" s="1166">
        <v>90214</v>
      </c>
      <c r="AF97" s="1166">
        <v>139194</v>
      </c>
      <c r="AG97" s="1166">
        <v>0</v>
      </c>
      <c r="AH97" s="1166">
        <v>0</v>
      </c>
      <c r="AI97" s="1166">
        <v>0</v>
      </c>
      <c r="AJ97" s="1166">
        <v>0</v>
      </c>
      <c r="AK97" s="1166">
        <v>873720</v>
      </c>
      <c r="AL97" s="1166">
        <v>0</v>
      </c>
      <c r="AM97" s="1166">
        <v>0</v>
      </c>
      <c r="AN97" s="1166">
        <v>1073276</v>
      </c>
      <c r="AO97" s="1166">
        <v>1567794</v>
      </c>
      <c r="AP97" s="1166">
        <v>0</v>
      </c>
      <c r="AQ97" s="1166">
        <v>0</v>
      </c>
      <c r="AR97" s="1166">
        <v>42648</v>
      </c>
      <c r="AS97" s="1166">
        <v>6064</v>
      </c>
      <c r="AT97" s="1166">
        <v>4000</v>
      </c>
      <c r="AU97" s="1166">
        <v>0</v>
      </c>
      <c r="AV97" s="1166">
        <v>2671902</v>
      </c>
      <c r="AW97" s="1166">
        <v>18536</v>
      </c>
      <c r="AX97" s="1166">
        <v>25170</v>
      </c>
      <c r="AY97" s="1166">
        <v>695915</v>
      </c>
      <c r="AZ97" s="1166">
        <v>39865</v>
      </c>
      <c r="BA97" s="1166">
        <v>164401</v>
      </c>
      <c r="BB97" s="1166">
        <v>0</v>
      </c>
      <c r="BC97" s="1166">
        <v>72514</v>
      </c>
      <c r="BD97" s="1166">
        <v>0</v>
      </c>
      <c r="BE97" s="1166">
        <v>0</v>
      </c>
      <c r="BF97" s="1166">
        <v>696226</v>
      </c>
      <c r="BG97" s="1166">
        <v>0</v>
      </c>
      <c r="BH97" s="1166">
        <v>0</v>
      </c>
      <c r="BI97" s="1166">
        <v>267321</v>
      </c>
      <c r="BJ97" s="1166">
        <v>162960</v>
      </c>
      <c r="BK97" s="1166">
        <v>0</v>
      </c>
      <c r="BL97" s="1166">
        <v>79013</v>
      </c>
      <c r="BM97" s="1166">
        <v>36664</v>
      </c>
      <c r="BN97" s="1166">
        <v>0</v>
      </c>
      <c r="BO97" s="1166">
        <v>280980</v>
      </c>
      <c r="BP97" s="1166">
        <v>88931</v>
      </c>
      <c r="BQ97" s="1166">
        <v>11600</v>
      </c>
      <c r="BR97" s="1166">
        <v>97188</v>
      </c>
      <c r="BS97" s="1166">
        <v>0</v>
      </c>
      <c r="BT97" s="1166">
        <v>0</v>
      </c>
      <c r="BU97" s="1166">
        <v>32088</v>
      </c>
      <c r="BV97" s="1166">
        <v>321659</v>
      </c>
      <c r="BW97" s="1166">
        <v>12132</v>
      </c>
      <c r="BX97" s="1166">
        <v>0</v>
      </c>
      <c r="BY97" s="1166">
        <v>0</v>
      </c>
      <c r="BZ97" s="1166">
        <v>0</v>
      </c>
      <c r="CA97" s="1166">
        <v>751542</v>
      </c>
      <c r="CB97" s="1166">
        <v>0</v>
      </c>
    </row>
    <row r="98" spans="1:80" s="1156" customFormat="1" x14ac:dyDescent="0.3">
      <c r="A98" s="1161">
        <v>332</v>
      </c>
      <c r="B98" s="1162">
        <v>332</v>
      </c>
      <c r="C98" s="1163" t="s">
        <v>248</v>
      </c>
      <c r="D98" s="1154" t="s">
        <v>415</v>
      </c>
      <c r="E98" s="1164">
        <v>0</v>
      </c>
      <c r="F98" s="1165">
        <v>0</v>
      </c>
      <c r="G98" s="1165">
        <v>0</v>
      </c>
      <c r="H98" s="1165">
        <v>1080731</v>
      </c>
      <c r="I98" s="1165">
        <v>407821</v>
      </c>
      <c r="J98" s="1165">
        <v>21756</v>
      </c>
      <c r="K98" s="1165">
        <v>11572</v>
      </c>
      <c r="L98" s="1166">
        <v>241512</v>
      </c>
      <c r="M98" s="1166">
        <v>6054779</v>
      </c>
      <c r="N98" s="1166">
        <v>0</v>
      </c>
      <c r="O98" s="1166">
        <v>35780</v>
      </c>
      <c r="P98" s="1166">
        <v>75694</v>
      </c>
      <c r="Q98" s="1166">
        <v>0</v>
      </c>
      <c r="R98" s="1166">
        <v>2098619</v>
      </c>
      <c r="S98" s="1166">
        <v>637075</v>
      </c>
      <c r="T98" s="1166">
        <v>883889</v>
      </c>
      <c r="U98" s="1166">
        <v>0</v>
      </c>
      <c r="V98" s="1166">
        <v>4459842</v>
      </c>
      <c r="W98" s="1166">
        <v>0</v>
      </c>
      <c r="X98" s="1166">
        <v>0</v>
      </c>
      <c r="Y98" s="1166">
        <v>0</v>
      </c>
      <c r="Z98" s="1166">
        <v>1241487</v>
      </c>
      <c r="AA98" s="1166">
        <v>436279</v>
      </c>
      <c r="AB98" s="1166">
        <v>105663</v>
      </c>
      <c r="AC98" s="1166">
        <v>0</v>
      </c>
      <c r="AD98" s="1166">
        <v>29400</v>
      </c>
      <c r="AE98" s="1166">
        <v>45789</v>
      </c>
      <c r="AF98" s="1166">
        <v>0</v>
      </c>
      <c r="AG98" s="1166">
        <v>0</v>
      </c>
      <c r="AH98" s="1166">
        <v>0</v>
      </c>
      <c r="AI98" s="1166">
        <v>0</v>
      </c>
      <c r="AJ98" s="1166">
        <v>0</v>
      </c>
      <c r="AK98" s="1166">
        <v>2566055</v>
      </c>
      <c r="AL98" s="1166">
        <v>32881</v>
      </c>
      <c r="AM98" s="1166">
        <v>0</v>
      </c>
      <c r="AN98" s="1166">
        <v>4431204</v>
      </c>
      <c r="AO98" s="1166">
        <v>7675023</v>
      </c>
      <c r="AP98" s="1166">
        <v>0</v>
      </c>
      <c r="AQ98" s="1166">
        <v>0</v>
      </c>
      <c r="AR98" s="1166">
        <v>460887</v>
      </c>
      <c r="AS98" s="1166">
        <v>262603</v>
      </c>
      <c r="AT98" s="1166">
        <v>0</v>
      </c>
      <c r="AU98" s="1166">
        <v>0</v>
      </c>
      <c r="AV98" s="1166">
        <v>2042620</v>
      </c>
      <c r="AW98" s="1166">
        <v>0</v>
      </c>
      <c r="AX98" s="1166">
        <v>0</v>
      </c>
      <c r="AY98" s="1166">
        <v>518328</v>
      </c>
      <c r="AZ98" s="1166">
        <v>0</v>
      </c>
      <c r="BA98" s="1166">
        <v>674689</v>
      </c>
      <c r="BB98" s="1166">
        <v>0</v>
      </c>
      <c r="BC98" s="1166">
        <v>549776</v>
      </c>
      <c r="BD98" s="1166">
        <v>0</v>
      </c>
      <c r="BE98" s="1166">
        <v>0</v>
      </c>
      <c r="BF98" s="1166">
        <v>2787164</v>
      </c>
      <c r="BG98" s="1166">
        <v>0</v>
      </c>
      <c r="BH98" s="1166">
        <v>0</v>
      </c>
      <c r="BI98" s="1166">
        <v>120373</v>
      </c>
      <c r="BJ98" s="1166">
        <v>61654</v>
      </c>
      <c r="BK98" s="1166">
        <v>0</v>
      </c>
      <c r="BL98" s="1166">
        <v>434230</v>
      </c>
      <c r="BM98" s="1166">
        <v>87827</v>
      </c>
      <c r="BN98" s="1166">
        <v>0</v>
      </c>
      <c r="BO98" s="1166">
        <v>274395</v>
      </c>
      <c r="BP98" s="1166">
        <v>251461</v>
      </c>
      <c r="BQ98" s="1166">
        <v>2975</v>
      </c>
      <c r="BR98" s="1166">
        <v>506613</v>
      </c>
      <c r="BS98" s="1166">
        <v>0</v>
      </c>
      <c r="BT98" s="1166">
        <v>0</v>
      </c>
      <c r="BU98" s="1166">
        <v>71976</v>
      </c>
      <c r="BV98" s="1166">
        <v>331847</v>
      </c>
      <c r="BW98" s="1166">
        <v>1500846</v>
      </c>
      <c r="BX98" s="1166">
        <v>359527</v>
      </c>
      <c r="BY98" s="1166">
        <v>0</v>
      </c>
      <c r="BZ98" s="1166">
        <v>0</v>
      </c>
      <c r="CA98" s="1166">
        <v>1825053</v>
      </c>
      <c r="CB98" s="1166">
        <v>0</v>
      </c>
    </row>
    <row r="99" spans="1:80" s="1156" customFormat="1" x14ac:dyDescent="0.3">
      <c r="A99" s="1161">
        <v>333</v>
      </c>
      <c r="B99" s="1162">
        <v>333</v>
      </c>
      <c r="C99" s="1163" t="s">
        <v>184</v>
      </c>
      <c r="D99" s="1154" t="s">
        <v>416</v>
      </c>
      <c r="E99" s="1164">
        <v>475882</v>
      </c>
      <c r="F99" s="1165">
        <v>23677647</v>
      </c>
      <c r="G99" s="1165">
        <v>0</v>
      </c>
      <c r="H99" s="1165">
        <v>42209762</v>
      </c>
      <c r="I99" s="1165">
        <v>2213630</v>
      </c>
      <c r="J99" s="1165">
        <v>435284</v>
      </c>
      <c r="K99" s="1165">
        <v>2673339</v>
      </c>
      <c r="L99" s="1166">
        <v>1005389</v>
      </c>
      <c r="M99" s="1166">
        <v>20753278</v>
      </c>
      <c r="N99" s="1166">
        <v>213404</v>
      </c>
      <c r="O99" s="1166">
        <v>580142</v>
      </c>
      <c r="P99" s="1166">
        <v>514646</v>
      </c>
      <c r="Q99" s="1166">
        <v>15660405</v>
      </c>
      <c r="R99" s="1166">
        <v>14907792</v>
      </c>
      <c r="S99" s="1166">
        <v>2581396</v>
      </c>
      <c r="T99" s="1166">
        <v>14588256</v>
      </c>
      <c r="U99" s="1166">
        <v>0</v>
      </c>
      <c r="V99" s="1166">
        <v>19438400</v>
      </c>
      <c r="W99" s="1166">
        <v>164476</v>
      </c>
      <c r="X99" s="1166">
        <v>8842544</v>
      </c>
      <c r="Y99" s="1166">
        <v>9483777</v>
      </c>
      <c r="Z99" s="1166">
        <v>4513196</v>
      </c>
      <c r="AA99" s="1166">
        <v>1767912</v>
      </c>
      <c r="AB99" s="1166">
        <v>3812419</v>
      </c>
      <c r="AC99" s="1166">
        <v>1143445</v>
      </c>
      <c r="AD99" s="1166">
        <v>242840</v>
      </c>
      <c r="AE99" s="1166">
        <v>1189474</v>
      </c>
      <c r="AF99" s="1166">
        <v>1342665</v>
      </c>
      <c r="AG99" s="1166">
        <v>72647</v>
      </c>
      <c r="AH99" s="1166">
        <v>66642</v>
      </c>
      <c r="AI99" s="1166">
        <v>132635</v>
      </c>
      <c r="AJ99" s="1166">
        <v>2051714</v>
      </c>
      <c r="AK99" s="1166">
        <v>2239515</v>
      </c>
      <c r="AL99" s="1166">
        <v>286065</v>
      </c>
      <c r="AM99" s="1166">
        <v>115367</v>
      </c>
      <c r="AN99" s="1166">
        <v>14214541</v>
      </c>
      <c r="AO99" s="1166">
        <v>11255675</v>
      </c>
      <c r="AP99" s="1166">
        <v>590613</v>
      </c>
      <c r="AQ99" s="1166">
        <v>10445571</v>
      </c>
      <c r="AR99" s="1166">
        <v>26034496</v>
      </c>
      <c r="AS99" s="1166">
        <v>2442098</v>
      </c>
      <c r="AT99" s="1166">
        <v>425268</v>
      </c>
      <c r="AU99" s="1166">
        <v>2394446</v>
      </c>
      <c r="AV99" s="1166">
        <v>5805328</v>
      </c>
      <c r="AW99" s="1166">
        <v>194604</v>
      </c>
      <c r="AX99" s="1166">
        <v>345508</v>
      </c>
      <c r="AY99" s="1166">
        <v>3116039</v>
      </c>
      <c r="AZ99" s="1166">
        <v>2182287</v>
      </c>
      <c r="BA99" s="1166">
        <v>1493843</v>
      </c>
      <c r="BB99" s="1166">
        <v>70595</v>
      </c>
      <c r="BC99" s="1166">
        <v>1298800</v>
      </c>
      <c r="BD99" s="1166">
        <v>0</v>
      </c>
      <c r="BE99" s="1166">
        <v>383912</v>
      </c>
      <c r="BF99" s="1166">
        <v>3999545</v>
      </c>
      <c r="BG99" s="1166">
        <v>0</v>
      </c>
      <c r="BH99" s="1166">
        <v>154205</v>
      </c>
      <c r="BI99" s="1166">
        <v>2907659</v>
      </c>
      <c r="BJ99" s="1166">
        <v>3433068</v>
      </c>
      <c r="BK99" s="1166">
        <v>333201</v>
      </c>
      <c r="BL99" s="1166">
        <v>3239020</v>
      </c>
      <c r="BM99" s="1166">
        <v>6246155</v>
      </c>
      <c r="BN99" s="1166">
        <v>136189</v>
      </c>
      <c r="BO99" s="1166">
        <v>3552094</v>
      </c>
      <c r="BP99" s="1166">
        <v>3497525</v>
      </c>
      <c r="BQ99" s="1166">
        <v>1469511</v>
      </c>
      <c r="BR99" s="1166">
        <v>2534166</v>
      </c>
      <c r="BS99" s="1166">
        <v>3043456</v>
      </c>
      <c r="BT99" s="1166">
        <v>13944529</v>
      </c>
      <c r="BU99" s="1166">
        <v>2184911</v>
      </c>
      <c r="BV99" s="1166">
        <v>1638025</v>
      </c>
      <c r="BW99" s="1166">
        <v>957606</v>
      </c>
      <c r="BX99" s="1166">
        <v>1108232</v>
      </c>
      <c r="BY99" s="1166">
        <v>165153</v>
      </c>
      <c r="BZ99" s="1166">
        <v>192770</v>
      </c>
      <c r="CA99" s="1166">
        <v>13891189</v>
      </c>
      <c r="CB99" s="1166">
        <v>94313</v>
      </c>
    </row>
    <row r="100" spans="1:80" s="1156" customFormat="1" x14ac:dyDescent="0.3">
      <c r="A100" s="1161">
        <v>334</v>
      </c>
      <c r="B100" s="1162">
        <v>334</v>
      </c>
      <c r="C100" s="1163" t="s">
        <v>276</v>
      </c>
      <c r="D100" s="1154" t="s">
        <v>417</v>
      </c>
      <c r="E100" s="1164">
        <v>3118495</v>
      </c>
      <c r="F100" s="1165">
        <v>65059978</v>
      </c>
      <c r="G100" s="1165">
        <v>0</v>
      </c>
      <c r="H100" s="1165">
        <v>169490302</v>
      </c>
      <c r="I100" s="1165">
        <v>10801365</v>
      </c>
      <c r="J100" s="1165">
        <v>148592</v>
      </c>
      <c r="K100" s="1165">
        <v>1493237</v>
      </c>
      <c r="L100" s="1166">
        <v>3393493</v>
      </c>
      <c r="M100" s="1166">
        <v>265349989</v>
      </c>
      <c r="N100" s="1166">
        <v>144390</v>
      </c>
      <c r="O100" s="1166">
        <v>2320910</v>
      </c>
      <c r="P100" s="1166">
        <v>4422229</v>
      </c>
      <c r="Q100" s="1166">
        <v>146673900</v>
      </c>
      <c r="R100" s="1166">
        <v>48485422</v>
      </c>
      <c r="S100" s="1166">
        <v>11163629</v>
      </c>
      <c r="T100" s="1166">
        <v>28343261</v>
      </c>
      <c r="U100" s="1166">
        <v>0</v>
      </c>
      <c r="V100" s="1166">
        <v>40291984</v>
      </c>
      <c r="W100" s="1166">
        <v>10238</v>
      </c>
      <c r="X100" s="1166">
        <v>32522119</v>
      </c>
      <c r="Y100" s="1166">
        <v>105237068</v>
      </c>
      <c r="Z100" s="1166">
        <v>13291057</v>
      </c>
      <c r="AA100" s="1166">
        <v>17712035</v>
      </c>
      <c r="AB100" s="1166">
        <v>9952368</v>
      </c>
      <c r="AC100" s="1166">
        <v>784706</v>
      </c>
      <c r="AD100" s="1166">
        <v>892076</v>
      </c>
      <c r="AE100" s="1166">
        <v>3202018</v>
      </c>
      <c r="AF100" s="1166">
        <v>5078626</v>
      </c>
      <c r="AG100" s="1166">
        <v>743162</v>
      </c>
      <c r="AH100" s="1166">
        <v>166487</v>
      </c>
      <c r="AI100" s="1166">
        <v>1890054</v>
      </c>
      <c r="AJ100" s="1166">
        <v>2253631</v>
      </c>
      <c r="AK100" s="1166">
        <v>19962945</v>
      </c>
      <c r="AL100" s="1166">
        <v>1542760</v>
      </c>
      <c r="AM100" s="1166">
        <v>37458</v>
      </c>
      <c r="AN100" s="1166">
        <v>85166337</v>
      </c>
      <c r="AO100" s="1166">
        <v>77997587</v>
      </c>
      <c r="AP100" s="1166">
        <v>526911</v>
      </c>
      <c r="AQ100" s="1166">
        <v>8627876</v>
      </c>
      <c r="AR100" s="1166">
        <v>99523387</v>
      </c>
      <c r="AS100" s="1166">
        <v>3911102</v>
      </c>
      <c r="AT100" s="1166">
        <v>3821636</v>
      </c>
      <c r="AU100" s="1166">
        <v>9995347</v>
      </c>
      <c r="AV100" s="1166">
        <v>34937964</v>
      </c>
      <c r="AW100" s="1166">
        <v>761790</v>
      </c>
      <c r="AX100" s="1166">
        <v>1367902</v>
      </c>
      <c r="AY100" s="1166">
        <v>17704282</v>
      </c>
      <c r="AZ100" s="1166">
        <v>8006105</v>
      </c>
      <c r="BA100" s="1166">
        <v>9181769</v>
      </c>
      <c r="BB100" s="1166">
        <v>5342</v>
      </c>
      <c r="BC100" s="1166">
        <v>5179934</v>
      </c>
      <c r="BD100" s="1166">
        <v>0</v>
      </c>
      <c r="BE100" s="1166">
        <v>103316</v>
      </c>
      <c r="BF100" s="1166">
        <v>44535186</v>
      </c>
      <c r="BG100" s="1166">
        <v>0</v>
      </c>
      <c r="BH100" s="1166">
        <v>125775</v>
      </c>
      <c r="BI100" s="1166">
        <v>6268686</v>
      </c>
      <c r="BJ100" s="1166">
        <v>9087858</v>
      </c>
      <c r="BK100" s="1166">
        <v>1068429</v>
      </c>
      <c r="BL100" s="1166">
        <v>18897555</v>
      </c>
      <c r="BM100" s="1166">
        <v>9185348</v>
      </c>
      <c r="BN100" s="1166">
        <v>154058</v>
      </c>
      <c r="BO100" s="1166">
        <v>16949536</v>
      </c>
      <c r="BP100" s="1166">
        <v>9178071</v>
      </c>
      <c r="BQ100" s="1166">
        <v>1250506</v>
      </c>
      <c r="BR100" s="1166">
        <v>3071799</v>
      </c>
      <c r="BS100" s="1166">
        <v>6069729</v>
      </c>
      <c r="BT100" s="1166">
        <v>147737450</v>
      </c>
      <c r="BU100" s="1166">
        <v>4927540</v>
      </c>
      <c r="BV100" s="1166">
        <v>6077751</v>
      </c>
      <c r="BW100" s="1166">
        <v>1824619</v>
      </c>
      <c r="BX100" s="1166">
        <v>3774650</v>
      </c>
      <c r="BY100" s="1166">
        <v>43270</v>
      </c>
      <c r="BZ100" s="1166">
        <v>67343</v>
      </c>
      <c r="CA100" s="1166">
        <v>66201823</v>
      </c>
      <c r="CB100" s="1166">
        <v>312234</v>
      </c>
    </row>
    <row r="101" spans="1:80" s="1156" customFormat="1" ht="28.8" x14ac:dyDescent="0.3">
      <c r="A101" s="1161">
        <v>335</v>
      </c>
      <c r="B101" s="1162">
        <v>335</v>
      </c>
      <c r="C101" s="1163" t="s">
        <v>117</v>
      </c>
      <c r="D101" s="1154" t="s">
        <v>418</v>
      </c>
      <c r="E101" s="1164">
        <v>0</v>
      </c>
      <c r="F101" s="1165">
        <v>0</v>
      </c>
      <c r="G101" s="1165">
        <v>0</v>
      </c>
      <c r="H101" s="1165">
        <v>0</v>
      </c>
      <c r="I101" s="1165">
        <v>0</v>
      </c>
      <c r="J101" s="1165">
        <v>0</v>
      </c>
      <c r="K101" s="1165">
        <v>0</v>
      </c>
      <c r="L101" s="1166">
        <v>0</v>
      </c>
      <c r="M101" s="1166">
        <v>0</v>
      </c>
      <c r="N101" s="1166">
        <v>0</v>
      </c>
      <c r="O101" s="1166">
        <v>0</v>
      </c>
      <c r="P101" s="1166">
        <v>0</v>
      </c>
      <c r="Q101" s="1166">
        <v>47424</v>
      </c>
      <c r="R101" s="1166">
        <v>6930</v>
      </c>
      <c r="S101" s="1166">
        <v>0</v>
      </c>
      <c r="T101" s="1166">
        <v>0</v>
      </c>
      <c r="U101" s="1166">
        <v>0</v>
      </c>
      <c r="V101" s="1166">
        <v>34330</v>
      </c>
      <c r="W101" s="1166">
        <v>0</v>
      </c>
      <c r="X101" s="1166">
        <v>0</v>
      </c>
      <c r="Y101" s="1166">
        <v>0</v>
      </c>
      <c r="Z101" s="1166">
        <v>0</v>
      </c>
      <c r="AA101" s="1166">
        <v>0</v>
      </c>
      <c r="AB101" s="1166">
        <v>0</v>
      </c>
      <c r="AC101" s="1166">
        <v>0</v>
      </c>
      <c r="AD101" s="1166">
        <v>0</v>
      </c>
      <c r="AE101" s="1166">
        <v>0</v>
      </c>
      <c r="AF101" s="1166">
        <v>0</v>
      </c>
      <c r="AG101" s="1166">
        <v>0</v>
      </c>
      <c r="AH101" s="1166">
        <v>0</v>
      </c>
      <c r="AI101" s="1166">
        <v>0</v>
      </c>
      <c r="AJ101" s="1166">
        <v>0</v>
      </c>
      <c r="AK101" s="1166">
        <v>0</v>
      </c>
      <c r="AL101" s="1166">
        <v>0</v>
      </c>
      <c r="AM101" s="1166">
        <v>0</v>
      </c>
      <c r="AN101" s="1166">
        <v>226620</v>
      </c>
      <c r="AO101" s="1166">
        <v>0</v>
      </c>
      <c r="AP101" s="1166">
        <v>0</v>
      </c>
      <c r="AQ101" s="1166">
        <v>0</v>
      </c>
      <c r="AR101" s="1166">
        <v>0</v>
      </c>
      <c r="AS101" s="1166">
        <v>15432</v>
      </c>
      <c r="AT101" s="1166">
        <v>0</v>
      </c>
      <c r="AU101" s="1166">
        <v>0</v>
      </c>
      <c r="AV101" s="1166">
        <v>0</v>
      </c>
      <c r="AW101" s="1166">
        <v>0</v>
      </c>
      <c r="AX101" s="1166">
        <v>0</v>
      </c>
      <c r="AY101" s="1166">
        <v>0</v>
      </c>
      <c r="AZ101" s="1166">
        <v>0</v>
      </c>
      <c r="BA101" s="1166">
        <v>0</v>
      </c>
      <c r="BB101" s="1166">
        <v>0</v>
      </c>
      <c r="BC101" s="1166">
        <v>0</v>
      </c>
      <c r="BD101" s="1166">
        <v>0</v>
      </c>
      <c r="BE101" s="1166">
        <v>0</v>
      </c>
      <c r="BF101" s="1166">
        <v>701527</v>
      </c>
      <c r="BG101" s="1166">
        <v>0</v>
      </c>
      <c r="BH101" s="1166">
        <v>0</v>
      </c>
      <c r="BI101" s="1166">
        <v>0</v>
      </c>
      <c r="BJ101" s="1166">
        <v>0</v>
      </c>
      <c r="BK101" s="1166">
        <v>0</v>
      </c>
      <c r="BL101" s="1166">
        <v>148</v>
      </c>
      <c r="BM101" s="1166">
        <v>0</v>
      </c>
      <c r="BN101" s="1166">
        <v>0</v>
      </c>
      <c r="BO101" s="1166">
        <v>0</v>
      </c>
      <c r="BP101" s="1166">
        <v>0</v>
      </c>
      <c r="BQ101" s="1166">
        <v>0</v>
      </c>
      <c r="BR101" s="1166">
        <v>0</v>
      </c>
      <c r="BS101" s="1166">
        <v>0</v>
      </c>
      <c r="BT101" s="1166">
        <v>0</v>
      </c>
      <c r="BU101" s="1166">
        <v>0</v>
      </c>
      <c r="BV101" s="1166">
        <v>0</v>
      </c>
      <c r="BW101" s="1166">
        <v>0</v>
      </c>
      <c r="BX101" s="1166">
        <v>0</v>
      </c>
      <c r="BY101" s="1166">
        <v>0</v>
      </c>
      <c r="BZ101" s="1166">
        <v>0</v>
      </c>
      <c r="CA101" s="1166">
        <v>0</v>
      </c>
      <c r="CB101" s="1166">
        <v>0</v>
      </c>
    </row>
    <row r="102" spans="1:80" s="1156" customFormat="1" x14ac:dyDescent="0.3">
      <c r="A102" s="1161">
        <v>336</v>
      </c>
      <c r="B102" s="1162">
        <v>336</v>
      </c>
      <c r="C102" s="1163" t="s">
        <v>637</v>
      </c>
      <c r="D102" s="1154" t="s">
        <v>419</v>
      </c>
      <c r="E102" s="1164">
        <v>80526</v>
      </c>
      <c r="F102" s="1165">
        <v>2529880</v>
      </c>
      <c r="G102" s="1165">
        <v>0</v>
      </c>
      <c r="H102" s="1165">
        <v>6048860</v>
      </c>
      <c r="I102" s="1165">
        <v>514529</v>
      </c>
      <c r="J102" s="1165">
        <v>16448</v>
      </c>
      <c r="K102" s="1165">
        <v>15492</v>
      </c>
      <c r="L102" s="1166">
        <v>65928</v>
      </c>
      <c r="M102" s="1166">
        <v>9762079</v>
      </c>
      <c r="N102" s="1166">
        <v>14422</v>
      </c>
      <c r="O102" s="1166">
        <v>64593</v>
      </c>
      <c r="P102" s="1166">
        <v>117455</v>
      </c>
      <c r="Q102" s="1166">
        <v>4480551</v>
      </c>
      <c r="R102" s="1166">
        <v>3701250</v>
      </c>
      <c r="S102" s="1166">
        <v>373864</v>
      </c>
      <c r="T102" s="1166">
        <v>1637206</v>
      </c>
      <c r="U102" s="1166">
        <v>0</v>
      </c>
      <c r="V102" s="1166">
        <v>4003991</v>
      </c>
      <c r="W102" s="1166">
        <v>362</v>
      </c>
      <c r="X102" s="1166">
        <v>1999800</v>
      </c>
      <c r="Y102" s="1166">
        <v>1790607</v>
      </c>
      <c r="Z102" s="1166">
        <v>831247</v>
      </c>
      <c r="AA102" s="1166">
        <v>120503</v>
      </c>
      <c r="AB102" s="1166">
        <v>492237</v>
      </c>
      <c r="AC102" s="1166">
        <v>25006</v>
      </c>
      <c r="AD102" s="1166">
        <v>65695</v>
      </c>
      <c r="AE102" s="1166">
        <v>67633</v>
      </c>
      <c r="AF102" s="1166">
        <v>601620</v>
      </c>
      <c r="AG102" s="1166">
        <v>5171</v>
      </c>
      <c r="AH102" s="1166">
        <v>1340</v>
      </c>
      <c r="AI102" s="1166">
        <v>444</v>
      </c>
      <c r="AJ102" s="1166">
        <v>35942</v>
      </c>
      <c r="AK102" s="1166">
        <v>524237</v>
      </c>
      <c r="AL102" s="1166">
        <v>34323</v>
      </c>
      <c r="AM102" s="1166">
        <v>0</v>
      </c>
      <c r="AN102" s="1166">
        <v>3242369</v>
      </c>
      <c r="AO102" s="1166">
        <v>227645</v>
      </c>
      <c r="AP102" s="1166">
        <v>2921</v>
      </c>
      <c r="AQ102" s="1166">
        <v>491663</v>
      </c>
      <c r="AR102" s="1166">
        <v>6427568</v>
      </c>
      <c r="AS102" s="1166">
        <v>182454</v>
      </c>
      <c r="AT102" s="1166">
        <v>123818</v>
      </c>
      <c r="AU102" s="1166">
        <v>433420</v>
      </c>
      <c r="AV102" s="1166">
        <v>1412559</v>
      </c>
      <c r="AW102" s="1166">
        <v>48068</v>
      </c>
      <c r="AX102" s="1166">
        <v>33663</v>
      </c>
      <c r="AY102" s="1166">
        <v>227206</v>
      </c>
      <c r="AZ102" s="1166">
        <v>157381</v>
      </c>
      <c r="BA102" s="1166">
        <v>255618</v>
      </c>
      <c r="BB102" s="1166">
        <v>0</v>
      </c>
      <c r="BC102" s="1166">
        <v>90321</v>
      </c>
      <c r="BD102" s="1166">
        <v>0</v>
      </c>
      <c r="BE102" s="1166">
        <v>3368</v>
      </c>
      <c r="BF102" s="1166">
        <v>5222280</v>
      </c>
      <c r="BG102" s="1166">
        <v>0</v>
      </c>
      <c r="BH102" s="1166">
        <v>2267</v>
      </c>
      <c r="BI102" s="1166">
        <v>44854</v>
      </c>
      <c r="BJ102" s="1166">
        <v>79033</v>
      </c>
      <c r="BK102" s="1166">
        <v>0</v>
      </c>
      <c r="BL102" s="1166">
        <v>338491</v>
      </c>
      <c r="BM102" s="1166">
        <v>0</v>
      </c>
      <c r="BN102" s="1166">
        <v>0</v>
      </c>
      <c r="BO102" s="1166">
        <v>1037531</v>
      </c>
      <c r="BP102" s="1166">
        <v>392073</v>
      </c>
      <c r="BQ102" s="1166">
        <v>9392</v>
      </c>
      <c r="BR102" s="1166">
        <v>8180</v>
      </c>
      <c r="BS102" s="1166">
        <v>10927</v>
      </c>
      <c r="BT102" s="1166">
        <v>3756939</v>
      </c>
      <c r="BU102" s="1166">
        <v>119598</v>
      </c>
      <c r="BV102" s="1166">
        <v>71411</v>
      </c>
      <c r="BW102" s="1166">
        <v>56807</v>
      </c>
      <c r="BX102" s="1166">
        <v>11908</v>
      </c>
      <c r="BY102" s="1166">
        <v>0</v>
      </c>
      <c r="BZ102" s="1166">
        <v>0</v>
      </c>
      <c r="CA102" s="1166">
        <v>2804824</v>
      </c>
      <c r="CB102" s="1166">
        <v>2665</v>
      </c>
    </row>
    <row r="103" spans="1:80" s="1156" customFormat="1" x14ac:dyDescent="0.3">
      <c r="A103" s="1161">
        <v>337</v>
      </c>
      <c r="B103" s="1162">
        <v>337</v>
      </c>
      <c r="C103" s="1163" t="s">
        <v>254</v>
      </c>
      <c r="D103" s="1154" t="s">
        <v>420</v>
      </c>
      <c r="E103" s="1164">
        <v>419820</v>
      </c>
      <c r="F103" s="1165">
        <v>14134174</v>
      </c>
      <c r="G103" s="1165">
        <v>0</v>
      </c>
      <c r="H103" s="1165">
        <v>20338808</v>
      </c>
      <c r="I103" s="1165">
        <v>857846</v>
      </c>
      <c r="J103" s="1165">
        <v>0</v>
      </c>
      <c r="K103" s="1165">
        <v>0</v>
      </c>
      <c r="L103" s="1166">
        <v>1195169</v>
      </c>
      <c r="M103" s="1166">
        <v>57042056</v>
      </c>
      <c r="N103" s="1166">
        <v>0</v>
      </c>
      <c r="O103" s="1166">
        <v>86583</v>
      </c>
      <c r="P103" s="1166">
        <v>457453</v>
      </c>
      <c r="Q103" s="1166">
        <v>24026264</v>
      </c>
      <c r="R103" s="1166">
        <v>10433496</v>
      </c>
      <c r="S103" s="1166">
        <v>1877667</v>
      </c>
      <c r="T103" s="1166">
        <v>1854010</v>
      </c>
      <c r="U103" s="1166">
        <v>0</v>
      </c>
      <c r="V103" s="1166">
        <v>12203976</v>
      </c>
      <c r="W103" s="1166">
        <v>0</v>
      </c>
      <c r="X103" s="1166">
        <v>0</v>
      </c>
      <c r="Y103" s="1166">
        <v>12037816</v>
      </c>
      <c r="Z103" s="1166">
        <v>5126080</v>
      </c>
      <c r="AA103" s="1166">
        <v>70838</v>
      </c>
      <c r="AB103" s="1166">
        <v>1466999</v>
      </c>
      <c r="AC103" s="1166">
        <v>0</v>
      </c>
      <c r="AD103" s="1166">
        <v>0</v>
      </c>
      <c r="AE103" s="1166">
        <v>45763</v>
      </c>
      <c r="AF103" s="1166">
        <v>1615277</v>
      </c>
      <c r="AG103" s="1166">
        <v>5656</v>
      </c>
      <c r="AH103" s="1166">
        <v>0</v>
      </c>
      <c r="AI103" s="1166">
        <v>0</v>
      </c>
      <c r="AJ103" s="1166">
        <v>0</v>
      </c>
      <c r="AK103" s="1166">
        <v>5378973</v>
      </c>
      <c r="AL103" s="1166">
        <v>0</v>
      </c>
      <c r="AM103" s="1166">
        <v>0</v>
      </c>
      <c r="AN103" s="1166">
        <v>13496988</v>
      </c>
      <c r="AO103" s="1166">
        <v>1188175</v>
      </c>
      <c r="AP103" s="1166">
        <v>0</v>
      </c>
      <c r="AQ103" s="1166">
        <v>466672</v>
      </c>
      <c r="AR103" s="1166">
        <v>5220129</v>
      </c>
      <c r="AS103" s="1166">
        <v>334077</v>
      </c>
      <c r="AT103" s="1166">
        <v>881378</v>
      </c>
      <c r="AU103" s="1166">
        <v>2765560</v>
      </c>
      <c r="AV103" s="1166">
        <v>911880</v>
      </c>
      <c r="AW103" s="1166">
        <v>0</v>
      </c>
      <c r="AX103" s="1166">
        <v>195735</v>
      </c>
      <c r="AY103" s="1166">
        <v>1746152</v>
      </c>
      <c r="AZ103" s="1166">
        <v>762311</v>
      </c>
      <c r="BA103" s="1166">
        <v>1028790</v>
      </c>
      <c r="BB103" s="1166">
        <v>0</v>
      </c>
      <c r="BC103" s="1166">
        <v>244779</v>
      </c>
      <c r="BD103" s="1166">
        <v>0</v>
      </c>
      <c r="BE103" s="1166">
        <v>0</v>
      </c>
      <c r="BF103" s="1166">
        <v>14407364</v>
      </c>
      <c r="BG103" s="1166">
        <v>0</v>
      </c>
      <c r="BH103" s="1166">
        <v>0</v>
      </c>
      <c r="BI103" s="1166">
        <v>104357</v>
      </c>
      <c r="BJ103" s="1166">
        <v>0</v>
      </c>
      <c r="BK103" s="1166">
        <v>102789</v>
      </c>
      <c r="BL103" s="1166">
        <v>1736667</v>
      </c>
      <c r="BM103" s="1166">
        <v>0</v>
      </c>
      <c r="BN103" s="1166">
        <v>0</v>
      </c>
      <c r="BO103" s="1166">
        <v>1592703</v>
      </c>
      <c r="BP103" s="1166">
        <v>0</v>
      </c>
      <c r="BQ103" s="1166">
        <v>0</v>
      </c>
      <c r="BR103" s="1166">
        <v>0</v>
      </c>
      <c r="BS103" s="1166">
        <v>0</v>
      </c>
      <c r="BT103" s="1166">
        <v>6563429</v>
      </c>
      <c r="BU103" s="1166">
        <v>509638</v>
      </c>
      <c r="BV103" s="1166">
        <v>271856</v>
      </c>
      <c r="BW103" s="1166">
        <v>233497</v>
      </c>
      <c r="BX103" s="1166">
        <v>0</v>
      </c>
      <c r="BY103" s="1166">
        <v>0</v>
      </c>
      <c r="BZ103" s="1166">
        <v>0</v>
      </c>
      <c r="CA103" s="1166">
        <v>8371909</v>
      </c>
      <c r="CB103" s="1166">
        <v>52121</v>
      </c>
    </row>
    <row r="104" spans="1:80" s="1156" customFormat="1" x14ac:dyDescent="0.3">
      <c r="A104" s="1161">
        <v>338</v>
      </c>
      <c r="B104" s="1162">
        <v>338</v>
      </c>
      <c r="C104" s="1163" t="s">
        <v>116</v>
      </c>
      <c r="D104" s="1154" t="s">
        <v>421</v>
      </c>
      <c r="E104" s="1164">
        <v>1131889</v>
      </c>
      <c r="F104" s="1165">
        <v>17724278</v>
      </c>
      <c r="G104" s="1165">
        <v>0</v>
      </c>
      <c r="H104" s="1165">
        <v>39930872</v>
      </c>
      <c r="I104" s="1165">
        <v>2093588</v>
      </c>
      <c r="J104" s="1165">
        <v>413982</v>
      </c>
      <c r="K104" s="1165">
        <v>458936</v>
      </c>
      <c r="L104" s="1166">
        <v>2078367</v>
      </c>
      <c r="M104" s="1166">
        <v>124490775</v>
      </c>
      <c r="N104" s="1166">
        <v>14422</v>
      </c>
      <c r="O104" s="1166">
        <v>1030971</v>
      </c>
      <c r="P104" s="1166">
        <v>836660</v>
      </c>
      <c r="Q104" s="1166">
        <v>49688057</v>
      </c>
      <c r="R104" s="1166">
        <v>24600222</v>
      </c>
      <c r="S104" s="1166">
        <v>4320048</v>
      </c>
      <c r="T104" s="1166">
        <v>15432685</v>
      </c>
      <c r="U104" s="1166">
        <v>0</v>
      </c>
      <c r="V104" s="1166">
        <v>28298124</v>
      </c>
      <c r="W104" s="1166">
        <v>362</v>
      </c>
      <c r="X104" s="1166">
        <v>8603098</v>
      </c>
      <c r="Y104" s="1166">
        <v>25868606</v>
      </c>
      <c r="Z104" s="1166">
        <v>8490418</v>
      </c>
      <c r="AA104" s="1166">
        <v>433641</v>
      </c>
      <c r="AB104" s="1166">
        <v>7092914</v>
      </c>
      <c r="AC104" s="1166">
        <v>25006</v>
      </c>
      <c r="AD104" s="1166">
        <v>65695</v>
      </c>
      <c r="AE104" s="1166">
        <v>276363</v>
      </c>
      <c r="AF104" s="1166">
        <v>2348855</v>
      </c>
      <c r="AG104" s="1166">
        <v>5171</v>
      </c>
      <c r="AH104" s="1166">
        <v>1340</v>
      </c>
      <c r="AI104" s="1166">
        <v>444</v>
      </c>
      <c r="AJ104" s="1166">
        <v>584819</v>
      </c>
      <c r="AK104" s="1166">
        <v>10311217</v>
      </c>
      <c r="AL104" s="1166">
        <v>34323</v>
      </c>
      <c r="AM104" s="1166">
        <v>1426</v>
      </c>
      <c r="AN104" s="1166">
        <v>19510559</v>
      </c>
      <c r="AO104" s="1166">
        <v>9288569</v>
      </c>
      <c r="AP104" s="1166">
        <v>28328</v>
      </c>
      <c r="AQ104" s="1166">
        <v>1201669</v>
      </c>
      <c r="AR104" s="1166">
        <v>37007602</v>
      </c>
      <c r="AS104" s="1166">
        <v>1221027</v>
      </c>
      <c r="AT104" s="1166">
        <v>1205456</v>
      </c>
      <c r="AU104" s="1166">
        <v>5468549</v>
      </c>
      <c r="AV104" s="1166">
        <v>14674581</v>
      </c>
      <c r="AW104" s="1166">
        <v>49822</v>
      </c>
      <c r="AX104" s="1166">
        <v>317985</v>
      </c>
      <c r="AY104" s="1166">
        <v>2840912</v>
      </c>
      <c r="AZ104" s="1166">
        <v>2104314</v>
      </c>
      <c r="BA104" s="1166">
        <v>3287438</v>
      </c>
      <c r="BB104" s="1166">
        <v>0</v>
      </c>
      <c r="BC104" s="1166">
        <v>1163170</v>
      </c>
      <c r="BD104" s="1166">
        <v>0</v>
      </c>
      <c r="BE104" s="1166">
        <v>3368</v>
      </c>
      <c r="BF104" s="1166">
        <v>58829992</v>
      </c>
      <c r="BG104" s="1166">
        <v>0</v>
      </c>
      <c r="BH104" s="1166">
        <v>2267</v>
      </c>
      <c r="BI104" s="1166">
        <v>5058840</v>
      </c>
      <c r="BJ104" s="1166">
        <v>1173100</v>
      </c>
      <c r="BK104" s="1166">
        <v>203329</v>
      </c>
      <c r="BL104" s="1166">
        <v>3627249</v>
      </c>
      <c r="BM104" s="1166">
        <v>3025909</v>
      </c>
      <c r="BN104" s="1166">
        <v>0</v>
      </c>
      <c r="BO104" s="1166">
        <v>4247810</v>
      </c>
      <c r="BP104" s="1166">
        <v>836771</v>
      </c>
      <c r="BQ104" s="1166">
        <v>241283</v>
      </c>
      <c r="BR104" s="1166">
        <v>669506</v>
      </c>
      <c r="BS104" s="1166">
        <v>153655</v>
      </c>
      <c r="BT104" s="1166">
        <v>16149902</v>
      </c>
      <c r="BU104" s="1166">
        <v>1133803</v>
      </c>
      <c r="BV104" s="1166">
        <v>4353773</v>
      </c>
      <c r="BW104" s="1166">
        <v>946560</v>
      </c>
      <c r="BX104" s="1166">
        <v>48929</v>
      </c>
      <c r="BY104" s="1166">
        <v>0</v>
      </c>
      <c r="BZ104" s="1166">
        <v>0</v>
      </c>
      <c r="CA104" s="1166">
        <v>22361004</v>
      </c>
      <c r="CB104" s="1166">
        <v>52121</v>
      </c>
    </row>
    <row r="105" spans="1:80" s="1156" customFormat="1" x14ac:dyDescent="0.3">
      <c r="A105" s="1161">
        <v>339</v>
      </c>
      <c r="B105" s="1162">
        <v>339</v>
      </c>
      <c r="C105" s="1163" t="s">
        <v>190</v>
      </c>
      <c r="D105" s="1154" t="s">
        <v>422</v>
      </c>
      <c r="E105" s="1164">
        <v>29365</v>
      </c>
      <c r="F105" s="1165">
        <v>460579</v>
      </c>
      <c r="G105" s="1165">
        <v>0</v>
      </c>
      <c r="H105" s="1165">
        <v>1714308</v>
      </c>
      <c r="I105" s="1165">
        <v>999674</v>
      </c>
      <c r="J105" s="1165">
        <v>11155</v>
      </c>
      <c r="K105" s="1165">
        <v>2162</v>
      </c>
      <c r="L105" s="1166">
        <v>166777</v>
      </c>
      <c r="M105" s="1166">
        <v>818948</v>
      </c>
      <c r="N105" s="1166">
        <v>0</v>
      </c>
      <c r="O105" s="1166">
        <v>207047</v>
      </c>
      <c r="P105" s="1166">
        <v>174137</v>
      </c>
      <c r="Q105" s="1166">
        <v>2979844</v>
      </c>
      <c r="R105" s="1166">
        <v>455511</v>
      </c>
      <c r="S105" s="1166">
        <v>354105</v>
      </c>
      <c r="T105" s="1166">
        <v>2213418</v>
      </c>
      <c r="U105" s="1166">
        <v>0</v>
      </c>
      <c r="V105" s="1166">
        <v>3640871</v>
      </c>
      <c r="W105" s="1166">
        <v>0</v>
      </c>
      <c r="X105" s="1166">
        <v>128823</v>
      </c>
      <c r="Y105" s="1166">
        <v>2276913</v>
      </c>
      <c r="Z105" s="1166">
        <v>1379694</v>
      </c>
      <c r="AA105" s="1166">
        <v>552788</v>
      </c>
      <c r="AB105" s="1166">
        <v>911694</v>
      </c>
      <c r="AC105" s="1166">
        <v>51808</v>
      </c>
      <c r="AD105" s="1166">
        <v>0</v>
      </c>
      <c r="AE105" s="1166">
        <v>40470</v>
      </c>
      <c r="AF105" s="1166">
        <v>426732</v>
      </c>
      <c r="AG105" s="1166">
        <v>0</v>
      </c>
      <c r="AH105" s="1166">
        <v>0</v>
      </c>
      <c r="AI105" s="1166">
        <v>0</v>
      </c>
      <c r="AJ105" s="1166">
        <v>3274</v>
      </c>
      <c r="AK105" s="1166">
        <v>202007</v>
      </c>
      <c r="AL105" s="1166">
        <v>0</v>
      </c>
      <c r="AM105" s="1166">
        <v>0</v>
      </c>
      <c r="AN105" s="1166">
        <v>4787096</v>
      </c>
      <c r="AO105" s="1166">
        <v>1610303</v>
      </c>
      <c r="AP105" s="1166">
        <v>2800</v>
      </c>
      <c r="AQ105" s="1166">
        <v>36878</v>
      </c>
      <c r="AR105" s="1166">
        <v>2368442</v>
      </c>
      <c r="AS105" s="1166">
        <v>289494</v>
      </c>
      <c r="AT105" s="1166">
        <v>19969</v>
      </c>
      <c r="AU105" s="1166">
        <v>805251</v>
      </c>
      <c r="AV105" s="1166">
        <v>155739</v>
      </c>
      <c r="AW105" s="1166">
        <v>13620</v>
      </c>
      <c r="AX105" s="1166">
        <v>102026</v>
      </c>
      <c r="AY105" s="1166">
        <v>51391</v>
      </c>
      <c r="AZ105" s="1166">
        <v>368162</v>
      </c>
      <c r="BA105" s="1166">
        <v>444060</v>
      </c>
      <c r="BB105" s="1166">
        <v>13897</v>
      </c>
      <c r="BC105" s="1166">
        <v>184863</v>
      </c>
      <c r="BD105" s="1166">
        <v>0</v>
      </c>
      <c r="BE105" s="1166">
        <v>0</v>
      </c>
      <c r="BF105" s="1166">
        <v>4107278</v>
      </c>
      <c r="BG105" s="1166">
        <v>0</v>
      </c>
      <c r="BH105" s="1166">
        <v>5405</v>
      </c>
      <c r="BI105" s="1166">
        <v>197651</v>
      </c>
      <c r="BJ105" s="1166">
        <v>130499</v>
      </c>
      <c r="BK105" s="1166">
        <v>103235</v>
      </c>
      <c r="BL105" s="1166">
        <v>257541</v>
      </c>
      <c r="BM105" s="1166">
        <v>296519</v>
      </c>
      <c r="BN105" s="1166">
        <v>0</v>
      </c>
      <c r="BO105" s="1166">
        <v>1544228</v>
      </c>
      <c r="BP105" s="1166">
        <v>29014</v>
      </c>
      <c r="BQ105" s="1166">
        <v>40912</v>
      </c>
      <c r="BR105" s="1166">
        <v>240044</v>
      </c>
      <c r="BS105" s="1166">
        <v>92534</v>
      </c>
      <c r="BT105" s="1166">
        <v>2131895</v>
      </c>
      <c r="BU105" s="1166">
        <v>256648</v>
      </c>
      <c r="BV105" s="1166">
        <v>275192</v>
      </c>
      <c r="BW105" s="1166">
        <v>141522</v>
      </c>
      <c r="BX105" s="1166">
        <v>1075</v>
      </c>
      <c r="BY105" s="1166">
        <v>0</v>
      </c>
      <c r="BZ105" s="1166">
        <v>0</v>
      </c>
      <c r="CA105" s="1166">
        <v>1464352</v>
      </c>
      <c r="CB105" s="1166">
        <v>384</v>
      </c>
    </row>
    <row r="106" spans="1:80" s="1156" customFormat="1" x14ac:dyDescent="0.3">
      <c r="A106" s="1154"/>
      <c r="B106" s="1162">
        <v>340</v>
      </c>
      <c r="C106" s="1163" t="s">
        <v>638</v>
      </c>
      <c r="D106" s="1154" t="s">
        <v>423</v>
      </c>
      <c r="E106" s="1164"/>
      <c r="F106" s="1165"/>
      <c r="G106" s="1165"/>
      <c r="H106" s="1165"/>
      <c r="I106" s="1165"/>
      <c r="J106" s="1165"/>
      <c r="K106" s="1165"/>
      <c r="L106" s="1166"/>
      <c r="M106" s="1166"/>
      <c r="N106" s="1166"/>
      <c r="O106" s="1166"/>
      <c r="P106" s="1166"/>
      <c r="Q106" s="1166"/>
      <c r="R106" s="1166"/>
      <c r="S106" s="1166"/>
      <c r="T106" s="1166"/>
      <c r="U106" s="1166"/>
      <c r="V106" s="1166"/>
      <c r="W106" s="1166"/>
      <c r="X106" s="1166"/>
      <c r="Y106" s="1166"/>
      <c r="Z106" s="1166"/>
      <c r="AA106" s="1166"/>
      <c r="AB106" s="1166"/>
      <c r="AC106" s="1166"/>
      <c r="AD106" s="1166"/>
      <c r="AE106" s="1166"/>
      <c r="AF106" s="1166"/>
      <c r="AG106" s="1166"/>
      <c r="AH106" s="1166"/>
      <c r="AI106" s="1166"/>
      <c r="AJ106" s="1166"/>
      <c r="AK106" s="1166"/>
      <c r="AL106" s="1166"/>
      <c r="AM106" s="1166"/>
      <c r="AN106" s="1166"/>
      <c r="AO106" s="1166"/>
      <c r="AP106" s="1166"/>
      <c r="AQ106" s="1166"/>
      <c r="AR106" s="1166"/>
      <c r="AS106" s="1166"/>
      <c r="AT106" s="1166"/>
      <c r="AU106" s="1166"/>
      <c r="AV106" s="1166"/>
      <c r="AW106" s="1166"/>
      <c r="AX106" s="1166"/>
      <c r="AY106" s="1166"/>
      <c r="AZ106" s="1166"/>
      <c r="BA106" s="1166"/>
      <c r="BB106" s="1166"/>
      <c r="BC106" s="1166"/>
      <c r="BD106" s="1166"/>
      <c r="BE106" s="1166"/>
      <c r="BF106" s="1166"/>
      <c r="BG106" s="1166"/>
      <c r="BH106" s="1166"/>
      <c r="BI106" s="1166"/>
      <c r="BJ106" s="1166"/>
      <c r="BK106" s="1166"/>
      <c r="BL106" s="1166"/>
      <c r="BM106" s="1166"/>
      <c r="BN106" s="1166"/>
      <c r="BO106" s="1166"/>
      <c r="BP106" s="1166"/>
      <c r="BQ106" s="1166"/>
      <c r="BR106" s="1166"/>
      <c r="BS106" s="1166"/>
      <c r="BT106" s="1166"/>
      <c r="BU106" s="1166"/>
      <c r="BV106" s="1166"/>
      <c r="BW106" s="1166"/>
      <c r="BX106" s="1166"/>
      <c r="BY106" s="1166"/>
      <c r="BZ106" s="1166"/>
      <c r="CA106" s="1166"/>
      <c r="CB106" s="1166"/>
    </row>
    <row r="107" spans="1:80" s="1156" customFormat="1" x14ac:dyDescent="0.3">
      <c r="A107" s="1161">
        <v>341</v>
      </c>
      <c r="B107" s="1162">
        <v>341</v>
      </c>
      <c r="C107" s="1163" t="s">
        <v>193</v>
      </c>
      <c r="D107" s="1154" t="s">
        <v>424</v>
      </c>
      <c r="E107" s="1164">
        <v>1928033</v>
      </c>
      <c r="F107" s="1165">
        <v>12701483</v>
      </c>
      <c r="G107" s="1165">
        <v>0</v>
      </c>
      <c r="H107" s="1165">
        <v>45056911</v>
      </c>
      <c r="I107" s="1165">
        <v>3499285</v>
      </c>
      <c r="J107" s="1165">
        <v>248030</v>
      </c>
      <c r="K107" s="1165">
        <v>1350239</v>
      </c>
      <c r="L107" s="1166">
        <v>1806262</v>
      </c>
      <c r="M107" s="1166">
        <v>43088047</v>
      </c>
      <c r="N107" s="1166">
        <v>94136</v>
      </c>
      <c r="O107" s="1166">
        <v>867804</v>
      </c>
      <c r="P107" s="1166">
        <v>1425598</v>
      </c>
      <c r="Q107" s="1166">
        <v>32041179</v>
      </c>
      <c r="R107" s="1166">
        <v>17364463</v>
      </c>
      <c r="S107" s="1166">
        <v>5026800</v>
      </c>
      <c r="T107" s="1166">
        <v>12762618</v>
      </c>
      <c r="U107" s="1166">
        <v>0</v>
      </c>
      <c r="V107" s="1166">
        <v>22706918</v>
      </c>
      <c r="W107" s="1166">
        <v>23234</v>
      </c>
      <c r="X107" s="1166">
        <v>8618143</v>
      </c>
      <c r="Y107" s="1166">
        <v>13222521</v>
      </c>
      <c r="Z107" s="1166">
        <v>4413264</v>
      </c>
      <c r="AA107" s="1166">
        <v>1436523</v>
      </c>
      <c r="AB107" s="1166">
        <v>4674700</v>
      </c>
      <c r="AC107" s="1166">
        <v>1165771</v>
      </c>
      <c r="AD107" s="1166">
        <v>287403</v>
      </c>
      <c r="AE107" s="1166">
        <v>1109789</v>
      </c>
      <c r="AF107" s="1166">
        <v>3007225</v>
      </c>
      <c r="AG107" s="1166">
        <v>39876</v>
      </c>
      <c r="AH107" s="1166">
        <v>44318</v>
      </c>
      <c r="AI107" s="1166">
        <v>71462</v>
      </c>
      <c r="AJ107" s="1166">
        <v>2887860</v>
      </c>
      <c r="AK107" s="1166">
        <v>6817861</v>
      </c>
      <c r="AL107" s="1166">
        <v>142221</v>
      </c>
      <c r="AM107" s="1166">
        <v>30250</v>
      </c>
      <c r="AN107" s="1166">
        <v>14531733</v>
      </c>
      <c r="AO107" s="1166">
        <v>17104718</v>
      </c>
      <c r="AP107" s="1166">
        <v>284838</v>
      </c>
      <c r="AQ107" s="1166">
        <v>4390880</v>
      </c>
      <c r="AR107" s="1166">
        <v>19114186</v>
      </c>
      <c r="AS107" s="1166">
        <v>2453895</v>
      </c>
      <c r="AT107" s="1166">
        <v>616770</v>
      </c>
      <c r="AU107" s="1166">
        <v>3593761</v>
      </c>
      <c r="AV107" s="1166">
        <v>10473091</v>
      </c>
      <c r="AW107" s="1166">
        <v>87630</v>
      </c>
      <c r="AX107" s="1166">
        <v>498112</v>
      </c>
      <c r="AY107" s="1166">
        <v>3219952</v>
      </c>
      <c r="AZ107" s="1166">
        <v>3516198</v>
      </c>
      <c r="BA107" s="1166">
        <v>2517488</v>
      </c>
      <c r="BB107" s="1166">
        <v>64682</v>
      </c>
      <c r="BC107" s="1166">
        <v>2268629</v>
      </c>
      <c r="BD107" s="1166">
        <v>0</v>
      </c>
      <c r="BE107" s="1166">
        <v>79767</v>
      </c>
      <c r="BF107" s="1166">
        <v>21171575</v>
      </c>
      <c r="BG107" s="1166">
        <v>0</v>
      </c>
      <c r="BH107" s="1166">
        <v>60740</v>
      </c>
      <c r="BI107" s="1166">
        <v>2956856</v>
      </c>
      <c r="BJ107" s="1166">
        <v>2597072</v>
      </c>
      <c r="BK107" s="1166">
        <v>509629</v>
      </c>
      <c r="BL107" s="1166">
        <v>8356070</v>
      </c>
      <c r="BM107" s="1166">
        <v>4139203</v>
      </c>
      <c r="BN107" s="1166">
        <v>50974</v>
      </c>
      <c r="BO107" s="1166">
        <v>5058536</v>
      </c>
      <c r="BP107" s="1166">
        <v>1941710</v>
      </c>
      <c r="BQ107" s="1166">
        <v>890328</v>
      </c>
      <c r="BR107" s="1166">
        <v>1696198</v>
      </c>
      <c r="BS107" s="1166">
        <v>1372902</v>
      </c>
      <c r="BT107" s="1166">
        <v>21903074</v>
      </c>
      <c r="BU107" s="1166">
        <v>1724066</v>
      </c>
      <c r="BV107" s="1166">
        <v>2437775</v>
      </c>
      <c r="BW107" s="1166">
        <v>515242</v>
      </c>
      <c r="BX107" s="1166">
        <v>958648</v>
      </c>
      <c r="BY107" s="1166">
        <v>36718</v>
      </c>
      <c r="BZ107" s="1166">
        <v>43403</v>
      </c>
      <c r="CA107" s="1166">
        <v>17058382</v>
      </c>
      <c r="CB107" s="1166">
        <v>82344</v>
      </c>
    </row>
    <row r="108" spans="1:80" s="1156" customFormat="1" x14ac:dyDescent="0.3">
      <c r="A108" s="1154"/>
      <c r="B108" s="1162">
        <v>342</v>
      </c>
      <c r="C108" s="1163" t="s">
        <v>639</v>
      </c>
      <c r="D108" s="1154" t="s">
        <v>425</v>
      </c>
      <c r="E108" s="1164"/>
      <c r="F108" s="1165"/>
      <c r="G108" s="1165"/>
      <c r="H108" s="1165"/>
      <c r="I108" s="1165"/>
      <c r="J108" s="1165"/>
      <c r="K108" s="1165"/>
      <c r="L108" s="1166"/>
      <c r="M108" s="1166"/>
      <c r="N108" s="1166"/>
      <c r="O108" s="1166"/>
      <c r="P108" s="1166"/>
      <c r="Q108" s="1166"/>
      <c r="R108" s="1166"/>
      <c r="S108" s="1166"/>
      <c r="T108" s="1166"/>
      <c r="U108" s="1166"/>
      <c r="V108" s="1166"/>
      <c r="W108" s="1166"/>
      <c r="X108" s="1166"/>
      <c r="Y108" s="1166"/>
      <c r="Z108" s="1166"/>
      <c r="AA108" s="1166"/>
      <c r="AB108" s="1166"/>
      <c r="AC108" s="1166"/>
      <c r="AD108" s="1166"/>
      <c r="AE108" s="1166"/>
      <c r="AF108" s="1166"/>
      <c r="AG108" s="1166"/>
      <c r="AH108" s="1166"/>
      <c r="AI108" s="1166"/>
      <c r="AJ108" s="1166"/>
      <c r="AK108" s="1166"/>
      <c r="AL108" s="1166"/>
      <c r="AM108" s="1166"/>
      <c r="AN108" s="1166"/>
      <c r="AO108" s="1166"/>
      <c r="AP108" s="1166"/>
      <c r="AQ108" s="1166"/>
      <c r="AR108" s="1166"/>
      <c r="AS108" s="1166"/>
      <c r="AT108" s="1166"/>
      <c r="AU108" s="1166"/>
      <c r="AV108" s="1166"/>
      <c r="AW108" s="1166"/>
      <c r="AX108" s="1166"/>
      <c r="AY108" s="1166"/>
      <c r="AZ108" s="1166"/>
      <c r="BA108" s="1166"/>
      <c r="BB108" s="1166"/>
      <c r="BC108" s="1166"/>
      <c r="BD108" s="1166"/>
      <c r="BE108" s="1166"/>
      <c r="BF108" s="1166"/>
      <c r="BG108" s="1166"/>
      <c r="BH108" s="1166"/>
      <c r="BI108" s="1166"/>
      <c r="BJ108" s="1166"/>
      <c r="BK108" s="1166"/>
      <c r="BL108" s="1166"/>
      <c r="BM108" s="1166"/>
      <c r="BN108" s="1166"/>
      <c r="BO108" s="1166"/>
      <c r="BP108" s="1166"/>
      <c r="BQ108" s="1166"/>
      <c r="BR108" s="1166"/>
      <c r="BS108" s="1166"/>
      <c r="BT108" s="1166"/>
      <c r="BU108" s="1166"/>
      <c r="BV108" s="1166"/>
      <c r="BW108" s="1166"/>
      <c r="BX108" s="1166"/>
      <c r="BY108" s="1166"/>
      <c r="BZ108" s="1166"/>
      <c r="CA108" s="1166"/>
      <c r="CB108" s="1166"/>
    </row>
    <row r="109" spans="1:80" s="1156" customFormat="1" x14ac:dyDescent="0.3">
      <c r="A109" s="1161">
        <v>343</v>
      </c>
      <c r="B109" s="1162">
        <v>343</v>
      </c>
      <c r="C109" s="1163" t="s">
        <v>255</v>
      </c>
      <c r="D109" s="1154" t="s">
        <v>426</v>
      </c>
      <c r="E109" s="1164">
        <v>28070</v>
      </c>
      <c r="F109" s="1165">
        <v>1385821</v>
      </c>
      <c r="G109" s="1165">
        <v>0</v>
      </c>
      <c r="H109" s="1165">
        <v>3402364</v>
      </c>
      <c r="I109" s="1165">
        <v>150576</v>
      </c>
      <c r="J109" s="1165">
        <v>0</v>
      </c>
      <c r="K109" s="1165">
        <v>0</v>
      </c>
      <c r="L109" s="1166">
        <v>52809</v>
      </c>
      <c r="M109" s="1166">
        <v>7048769</v>
      </c>
      <c r="N109" s="1166">
        <v>0</v>
      </c>
      <c r="O109" s="1166">
        <v>10732</v>
      </c>
      <c r="P109" s="1166">
        <v>49778</v>
      </c>
      <c r="Q109" s="1166">
        <v>3800212</v>
      </c>
      <c r="R109" s="1166">
        <v>1749495</v>
      </c>
      <c r="S109" s="1166">
        <v>487455</v>
      </c>
      <c r="T109" s="1166">
        <v>626978</v>
      </c>
      <c r="U109" s="1166">
        <v>0</v>
      </c>
      <c r="V109" s="1166">
        <v>813568</v>
      </c>
      <c r="W109" s="1166">
        <v>0</v>
      </c>
      <c r="X109" s="1166">
        <v>0</v>
      </c>
      <c r="Y109" s="1166">
        <v>1237176</v>
      </c>
      <c r="Z109" s="1166">
        <v>683664</v>
      </c>
      <c r="AA109" s="1166">
        <v>56016</v>
      </c>
      <c r="AB109" s="1166">
        <v>943177</v>
      </c>
      <c r="AC109" s="1166">
        <v>0</v>
      </c>
      <c r="AD109" s="1166">
        <v>10387</v>
      </c>
      <c r="AE109" s="1166">
        <v>37478</v>
      </c>
      <c r="AF109" s="1166">
        <v>0</v>
      </c>
      <c r="AG109" s="1166">
        <v>5656</v>
      </c>
      <c r="AH109" s="1166">
        <v>0</v>
      </c>
      <c r="AI109" s="1166">
        <v>0</v>
      </c>
      <c r="AJ109" s="1166">
        <v>0</v>
      </c>
      <c r="AK109" s="1166">
        <v>447819</v>
      </c>
      <c r="AL109" s="1166">
        <v>0</v>
      </c>
      <c r="AM109" s="1166">
        <v>0</v>
      </c>
      <c r="AN109" s="1166">
        <v>1408898</v>
      </c>
      <c r="AO109" s="1166">
        <v>478922</v>
      </c>
      <c r="AP109" s="1166">
        <v>0</v>
      </c>
      <c r="AQ109" s="1166">
        <v>186666</v>
      </c>
      <c r="AR109" s="1166">
        <v>844229</v>
      </c>
      <c r="AS109" s="1166">
        <v>36454</v>
      </c>
      <c r="AT109" s="1166">
        <v>86250</v>
      </c>
      <c r="AU109" s="1166">
        <v>213561</v>
      </c>
      <c r="AV109" s="1166">
        <v>426798</v>
      </c>
      <c r="AW109" s="1166">
        <v>0</v>
      </c>
      <c r="AX109" s="1166">
        <v>2578</v>
      </c>
      <c r="AY109" s="1166">
        <v>154131</v>
      </c>
      <c r="AZ109" s="1166">
        <v>63233</v>
      </c>
      <c r="BA109" s="1166">
        <v>147795</v>
      </c>
      <c r="BB109" s="1166">
        <v>0</v>
      </c>
      <c r="BC109" s="1166">
        <v>63385</v>
      </c>
      <c r="BD109" s="1166">
        <v>0</v>
      </c>
      <c r="BE109" s="1166">
        <v>0</v>
      </c>
      <c r="BF109" s="1166">
        <v>978176</v>
      </c>
      <c r="BG109" s="1166">
        <v>0</v>
      </c>
      <c r="BH109" s="1166">
        <v>0</v>
      </c>
      <c r="BI109" s="1166">
        <v>20808</v>
      </c>
      <c r="BJ109" s="1166">
        <v>59991</v>
      </c>
      <c r="BK109" s="1166">
        <v>20000</v>
      </c>
      <c r="BL109" s="1166">
        <v>218333</v>
      </c>
      <c r="BM109" s="1166">
        <v>0</v>
      </c>
      <c r="BN109" s="1166">
        <v>0</v>
      </c>
      <c r="BO109" s="1166">
        <v>187311</v>
      </c>
      <c r="BP109" s="1166">
        <v>0</v>
      </c>
      <c r="BQ109" s="1166">
        <v>12019</v>
      </c>
      <c r="BR109" s="1166">
        <v>0</v>
      </c>
      <c r="BS109" s="1166">
        <v>0</v>
      </c>
      <c r="BT109" s="1166">
        <v>1080011</v>
      </c>
      <c r="BU109" s="1166">
        <v>46518</v>
      </c>
      <c r="BV109" s="1166">
        <v>69583</v>
      </c>
      <c r="BW109" s="1166">
        <v>80922</v>
      </c>
      <c r="BX109" s="1166">
        <v>0</v>
      </c>
      <c r="BY109" s="1166">
        <v>0</v>
      </c>
      <c r="BZ109" s="1166">
        <v>0</v>
      </c>
      <c r="CA109" s="1166">
        <v>1273190</v>
      </c>
      <c r="CB109" s="1166">
        <v>2548</v>
      </c>
    </row>
    <row r="110" spans="1:80" s="1156" customFormat="1" x14ac:dyDescent="0.3">
      <c r="A110" s="1161">
        <v>344</v>
      </c>
      <c r="B110" s="1162">
        <v>344</v>
      </c>
      <c r="C110" s="1163" t="s">
        <v>188</v>
      </c>
      <c r="D110" s="1154" t="s">
        <v>427</v>
      </c>
      <c r="E110" s="1164">
        <v>5001</v>
      </c>
      <c r="F110" s="1165">
        <v>320251</v>
      </c>
      <c r="G110" s="1165">
        <v>0</v>
      </c>
      <c r="H110" s="1165">
        <v>531585</v>
      </c>
      <c r="I110" s="1165">
        <v>19783</v>
      </c>
      <c r="J110" s="1165">
        <v>0</v>
      </c>
      <c r="K110" s="1165">
        <v>0</v>
      </c>
      <c r="L110" s="1166">
        <v>53949</v>
      </c>
      <c r="M110" s="1166">
        <v>2802713</v>
      </c>
      <c r="N110" s="1166">
        <v>0</v>
      </c>
      <c r="O110" s="1166">
        <v>89</v>
      </c>
      <c r="P110" s="1166">
        <v>17300</v>
      </c>
      <c r="Q110" s="1166">
        <v>570962</v>
      </c>
      <c r="R110" s="1166">
        <v>315068</v>
      </c>
      <c r="S110" s="1166">
        <v>56989</v>
      </c>
      <c r="T110" s="1166">
        <v>45338</v>
      </c>
      <c r="U110" s="1166">
        <v>0</v>
      </c>
      <c r="V110" s="1166">
        <v>422143</v>
      </c>
      <c r="W110" s="1166">
        <v>0</v>
      </c>
      <c r="X110" s="1166">
        <v>94991</v>
      </c>
      <c r="Y110" s="1166">
        <v>282904</v>
      </c>
      <c r="Z110" s="1166">
        <v>157166</v>
      </c>
      <c r="AA110" s="1166">
        <v>4239</v>
      </c>
      <c r="AB110" s="1166">
        <v>68292</v>
      </c>
      <c r="AC110" s="1166">
        <v>0</v>
      </c>
      <c r="AD110" s="1166">
        <v>0</v>
      </c>
      <c r="AE110" s="1166">
        <v>2078</v>
      </c>
      <c r="AF110" s="1166">
        <v>71949</v>
      </c>
      <c r="AG110" s="1166">
        <v>0</v>
      </c>
      <c r="AH110" s="1166">
        <v>0</v>
      </c>
      <c r="AI110" s="1166">
        <v>0</v>
      </c>
      <c r="AJ110" s="1166">
        <v>0</v>
      </c>
      <c r="AK110" s="1166">
        <v>144797</v>
      </c>
      <c r="AL110" s="1166">
        <v>0</v>
      </c>
      <c r="AM110" s="1166">
        <v>0</v>
      </c>
      <c r="AN110" s="1166">
        <v>270488</v>
      </c>
      <c r="AO110" s="1166">
        <v>5679</v>
      </c>
      <c r="AP110" s="1166">
        <v>0</v>
      </c>
      <c r="AQ110" s="1166">
        <v>15223</v>
      </c>
      <c r="AR110" s="1166">
        <v>192520</v>
      </c>
      <c r="AS110" s="1166">
        <v>10469</v>
      </c>
      <c r="AT110" s="1166">
        <v>13022</v>
      </c>
      <c r="AU110" s="1166">
        <v>79281</v>
      </c>
      <c r="AV110" s="1166">
        <v>40228</v>
      </c>
      <c r="AW110" s="1166">
        <v>0</v>
      </c>
      <c r="AX110" s="1166">
        <v>936</v>
      </c>
      <c r="AY110" s="1166">
        <v>7045</v>
      </c>
      <c r="AZ110" s="1166">
        <v>25112</v>
      </c>
      <c r="BA110" s="1166">
        <v>19809</v>
      </c>
      <c r="BB110" s="1166">
        <v>0</v>
      </c>
      <c r="BC110" s="1166">
        <v>2843</v>
      </c>
      <c r="BD110" s="1166">
        <v>0</v>
      </c>
      <c r="BE110" s="1166">
        <v>0</v>
      </c>
      <c r="BF110" s="1166">
        <v>553677</v>
      </c>
      <c r="BG110" s="1166">
        <v>0</v>
      </c>
      <c r="BH110" s="1166">
        <v>0</v>
      </c>
      <c r="BI110" s="1166">
        <v>2659</v>
      </c>
      <c r="BJ110" s="1166">
        <v>1193</v>
      </c>
      <c r="BK110" s="1166">
        <v>5293</v>
      </c>
      <c r="BL110" s="1166">
        <v>52728</v>
      </c>
      <c r="BM110" s="1166">
        <v>7474</v>
      </c>
      <c r="BN110" s="1166">
        <v>0</v>
      </c>
      <c r="BO110" s="1166">
        <v>32521</v>
      </c>
      <c r="BP110" s="1166">
        <v>0</v>
      </c>
      <c r="BQ110" s="1166">
        <v>269</v>
      </c>
      <c r="BR110" s="1166">
        <v>0</v>
      </c>
      <c r="BS110" s="1166">
        <v>0</v>
      </c>
      <c r="BT110" s="1166">
        <v>177933</v>
      </c>
      <c r="BU110" s="1166">
        <v>20874</v>
      </c>
      <c r="BV110" s="1166">
        <v>7416</v>
      </c>
      <c r="BW110" s="1166">
        <v>1182</v>
      </c>
      <c r="BX110" s="1166">
        <v>0</v>
      </c>
      <c r="BY110" s="1166">
        <v>0</v>
      </c>
      <c r="BZ110" s="1166">
        <v>0</v>
      </c>
      <c r="CA110" s="1166">
        <v>257803</v>
      </c>
      <c r="CB110" s="1166">
        <v>2408</v>
      </c>
    </row>
    <row r="111" spans="1:80" s="1156" customFormat="1" x14ac:dyDescent="0.3">
      <c r="A111" s="1154"/>
      <c r="B111" s="1162">
        <v>346</v>
      </c>
      <c r="C111" s="1163" t="s">
        <v>640</v>
      </c>
      <c r="D111" s="1154" t="s">
        <v>428</v>
      </c>
      <c r="E111" s="1164">
        <v>0</v>
      </c>
      <c r="F111" s="1165">
        <v>0</v>
      </c>
      <c r="G111" s="1165">
        <v>0</v>
      </c>
      <c r="H111" s="1165">
        <v>0</v>
      </c>
      <c r="I111" s="1165">
        <v>0</v>
      </c>
      <c r="J111" s="1165">
        <v>0</v>
      </c>
      <c r="K111" s="1165">
        <v>0</v>
      </c>
      <c r="L111" s="1166">
        <v>0</v>
      </c>
      <c r="M111" s="1166">
        <v>0</v>
      </c>
      <c r="N111" s="1166">
        <v>0</v>
      </c>
      <c r="O111" s="1166">
        <v>0</v>
      </c>
      <c r="P111" s="1166">
        <v>0</v>
      </c>
      <c r="Q111" s="1166">
        <v>0</v>
      </c>
      <c r="R111" s="1166">
        <v>0</v>
      </c>
      <c r="S111" s="1166">
        <v>0</v>
      </c>
      <c r="T111" s="1166">
        <v>0</v>
      </c>
      <c r="U111" s="1166">
        <v>0</v>
      </c>
      <c r="V111" s="1166">
        <v>0</v>
      </c>
      <c r="W111" s="1166">
        <v>0</v>
      </c>
      <c r="X111" s="1166">
        <v>0</v>
      </c>
      <c r="Y111" s="1166">
        <v>0</v>
      </c>
      <c r="Z111" s="1166">
        <v>0</v>
      </c>
      <c r="AA111" s="1166">
        <v>0</v>
      </c>
      <c r="AB111" s="1166">
        <v>0</v>
      </c>
      <c r="AC111" s="1166">
        <v>0</v>
      </c>
      <c r="AD111" s="1166">
        <v>0</v>
      </c>
      <c r="AE111" s="1166">
        <v>0</v>
      </c>
      <c r="AF111" s="1166">
        <v>0</v>
      </c>
      <c r="AG111" s="1166">
        <v>0</v>
      </c>
      <c r="AH111" s="1166">
        <v>0</v>
      </c>
      <c r="AI111" s="1166">
        <v>0</v>
      </c>
      <c r="AJ111" s="1166">
        <v>0</v>
      </c>
      <c r="AK111" s="1166">
        <v>0</v>
      </c>
      <c r="AL111" s="1166">
        <v>0</v>
      </c>
      <c r="AM111" s="1166">
        <v>0</v>
      </c>
      <c r="AN111" s="1166">
        <v>0</v>
      </c>
      <c r="AO111" s="1166">
        <v>0</v>
      </c>
      <c r="AP111" s="1166">
        <v>0</v>
      </c>
      <c r="AQ111" s="1166">
        <v>0</v>
      </c>
      <c r="AR111" s="1166">
        <v>0</v>
      </c>
      <c r="AS111" s="1166">
        <v>0</v>
      </c>
      <c r="AT111" s="1166">
        <v>0</v>
      </c>
      <c r="AU111" s="1166">
        <v>0</v>
      </c>
      <c r="AV111" s="1166">
        <v>0</v>
      </c>
      <c r="AW111" s="1166">
        <v>0</v>
      </c>
      <c r="AX111" s="1166">
        <v>0</v>
      </c>
      <c r="AY111" s="1166">
        <v>0</v>
      </c>
      <c r="AZ111" s="1166">
        <v>0</v>
      </c>
      <c r="BA111" s="1166">
        <v>0</v>
      </c>
      <c r="BB111" s="1166">
        <v>0</v>
      </c>
      <c r="BC111" s="1166">
        <v>0</v>
      </c>
      <c r="BD111" s="1166">
        <v>0</v>
      </c>
      <c r="BE111" s="1166">
        <v>0</v>
      </c>
      <c r="BF111" s="1166">
        <v>0</v>
      </c>
      <c r="BG111" s="1166">
        <v>0</v>
      </c>
      <c r="BH111" s="1166">
        <v>0</v>
      </c>
      <c r="BI111" s="1166">
        <v>0</v>
      </c>
      <c r="BJ111" s="1166">
        <v>0</v>
      </c>
      <c r="BK111" s="1166">
        <v>0</v>
      </c>
      <c r="BL111" s="1166">
        <v>0</v>
      </c>
      <c r="BM111" s="1166">
        <v>0</v>
      </c>
      <c r="BN111" s="1166">
        <v>0</v>
      </c>
      <c r="BO111" s="1166">
        <v>0</v>
      </c>
      <c r="BP111" s="1166">
        <v>0</v>
      </c>
      <c r="BQ111" s="1166">
        <v>0</v>
      </c>
      <c r="BR111" s="1166">
        <v>0</v>
      </c>
      <c r="BS111" s="1166">
        <v>0</v>
      </c>
      <c r="BT111" s="1166">
        <v>0</v>
      </c>
      <c r="BU111" s="1166">
        <v>0</v>
      </c>
      <c r="BV111" s="1166">
        <v>0</v>
      </c>
      <c r="BW111" s="1166">
        <v>0</v>
      </c>
      <c r="BX111" s="1166">
        <v>0</v>
      </c>
      <c r="BY111" s="1166">
        <v>0</v>
      </c>
      <c r="BZ111" s="1166">
        <v>0</v>
      </c>
      <c r="CA111" s="1166">
        <v>0</v>
      </c>
      <c r="CB111" s="1166">
        <v>0</v>
      </c>
    </row>
    <row r="112" spans="1:80" s="1156" customFormat="1" x14ac:dyDescent="0.3">
      <c r="A112" s="1154"/>
      <c r="B112" s="1162">
        <v>347</v>
      </c>
      <c r="C112" s="1163" t="s">
        <v>641</v>
      </c>
      <c r="D112" s="1154" t="s">
        <v>429</v>
      </c>
      <c r="E112" s="1164">
        <v>0</v>
      </c>
      <c r="F112" s="1165">
        <v>0</v>
      </c>
      <c r="G112" s="1165">
        <v>0</v>
      </c>
      <c r="H112" s="1165">
        <v>0</v>
      </c>
      <c r="I112" s="1165">
        <v>0</v>
      </c>
      <c r="J112" s="1165">
        <v>0</v>
      </c>
      <c r="K112" s="1165">
        <v>0</v>
      </c>
      <c r="L112" s="1166">
        <v>0</v>
      </c>
      <c r="M112" s="1166">
        <v>0</v>
      </c>
      <c r="N112" s="1166">
        <v>0</v>
      </c>
      <c r="O112" s="1166">
        <v>0</v>
      </c>
      <c r="P112" s="1166">
        <v>0</v>
      </c>
      <c r="Q112" s="1166">
        <v>0</v>
      </c>
      <c r="R112" s="1166">
        <v>0</v>
      </c>
      <c r="S112" s="1166">
        <v>0</v>
      </c>
      <c r="T112" s="1166">
        <v>0</v>
      </c>
      <c r="U112" s="1166">
        <v>0</v>
      </c>
      <c r="V112" s="1166">
        <v>0</v>
      </c>
      <c r="W112" s="1166">
        <v>0</v>
      </c>
      <c r="X112" s="1166">
        <v>0</v>
      </c>
      <c r="Y112" s="1166">
        <v>0</v>
      </c>
      <c r="Z112" s="1166">
        <v>0</v>
      </c>
      <c r="AA112" s="1166">
        <v>0</v>
      </c>
      <c r="AB112" s="1166">
        <v>0</v>
      </c>
      <c r="AC112" s="1166">
        <v>0</v>
      </c>
      <c r="AD112" s="1166">
        <v>0</v>
      </c>
      <c r="AE112" s="1166">
        <v>0</v>
      </c>
      <c r="AF112" s="1166">
        <v>0</v>
      </c>
      <c r="AG112" s="1166">
        <v>0</v>
      </c>
      <c r="AH112" s="1166">
        <v>0</v>
      </c>
      <c r="AI112" s="1166">
        <v>0</v>
      </c>
      <c r="AJ112" s="1166">
        <v>0</v>
      </c>
      <c r="AK112" s="1166">
        <v>0</v>
      </c>
      <c r="AL112" s="1166">
        <v>0</v>
      </c>
      <c r="AM112" s="1166">
        <v>0</v>
      </c>
      <c r="AN112" s="1166">
        <v>0</v>
      </c>
      <c r="AO112" s="1166">
        <v>0</v>
      </c>
      <c r="AP112" s="1166">
        <v>0</v>
      </c>
      <c r="AQ112" s="1166">
        <v>0</v>
      </c>
      <c r="AR112" s="1166">
        <v>0</v>
      </c>
      <c r="AS112" s="1166">
        <v>0</v>
      </c>
      <c r="AT112" s="1166">
        <v>0</v>
      </c>
      <c r="AU112" s="1166">
        <v>0</v>
      </c>
      <c r="AV112" s="1166">
        <v>0</v>
      </c>
      <c r="AW112" s="1166">
        <v>0</v>
      </c>
      <c r="AX112" s="1166">
        <v>0</v>
      </c>
      <c r="AY112" s="1166">
        <v>0</v>
      </c>
      <c r="AZ112" s="1166">
        <v>0</v>
      </c>
      <c r="BA112" s="1166">
        <v>0</v>
      </c>
      <c r="BB112" s="1166">
        <v>0</v>
      </c>
      <c r="BC112" s="1166">
        <v>0</v>
      </c>
      <c r="BD112" s="1166">
        <v>0</v>
      </c>
      <c r="BE112" s="1166">
        <v>0</v>
      </c>
      <c r="BF112" s="1166">
        <v>0</v>
      </c>
      <c r="BG112" s="1166">
        <v>0</v>
      </c>
      <c r="BH112" s="1166">
        <v>0</v>
      </c>
      <c r="BI112" s="1166">
        <v>0</v>
      </c>
      <c r="BJ112" s="1166">
        <v>0</v>
      </c>
      <c r="BK112" s="1166">
        <v>0</v>
      </c>
      <c r="BL112" s="1166">
        <v>0</v>
      </c>
      <c r="BM112" s="1166">
        <v>0</v>
      </c>
      <c r="BN112" s="1166">
        <v>0</v>
      </c>
      <c r="BO112" s="1166">
        <v>0</v>
      </c>
      <c r="BP112" s="1166">
        <v>0</v>
      </c>
      <c r="BQ112" s="1166">
        <v>0</v>
      </c>
      <c r="BR112" s="1166">
        <v>0</v>
      </c>
      <c r="BS112" s="1166">
        <v>0</v>
      </c>
      <c r="BT112" s="1166">
        <v>0</v>
      </c>
      <c r="BU112" s="1166">
        <v>0</v>
      </c>
      <c r="BV112" s="1166">
        <v>0</v>
      </c>
      <c r="BW112" s="1166">
        <v>0</v>
      </c>
      <c r="BX112" s="1166">
        <v>0</v>
      </c>
      <c r="BY112" s="1166">
        <v>0</v>
      </c>
      <c r="BZ112" s="1166">
        <v>0</v>
      </c>
      <c r="CA112" s="1166">
        <v>0</v>
      </c>
      <c r="CB112" s="1166">
        <v>0</v>
      </c>
    </row>
    <row r="113" spans="1:80" s="1156" customFormat="1" x14ac:dyDescent="0.3">
      <c r="A113" s="1161">
        <v>349</v>
      </c>
      <c r="B113" s="1162">
        <v>349</v>
      </c>
      <c r="C113" s="1163" t="s">
        <v>122</v>
      </c>
      <c r="D113" s="1154" t="s">
        <v>430</v>
      </c>
      <c r="E113" s="1164">
        <v>0</v>
      </c>
      <c r="F113" s="1165">
        <v>0</v>
      </c>
      <c r="G113" s="1165">
        <v>0</v>
      </c>
      <c r="H113" s="1165">
        <v>64048650</v>
      </c>
      <c r="I113" s="1165">
        <v>2073533</v>
      </c>
      <c r="J113" s="1165">
        <v>347915</v>
      </c>
      <c r="K113" s="1165">
        <v>206309</v>
      </c>
      <c r="L113" s="1166">
        <v>2965949</v>
      </c>
      <c r="M113" s="1166">
        <v>57823580</v>
      </c>
      <c r="N113" s="1166">
        <v>0</v>
      </c>
      <c r="O113" s="1166">
        <v>734279</v>
      </c>
      <c r="P113" s="1166">
        <v>251103</v>
      </c>
      <c r="Q113" s="1166">
        <v>0</v>
      </c>
      <c r="R113" s="1166">
        <v>2535358</v>
      </c>
      <c r="S113" s="1166">
        <v>12567821</v>
      </c>
      <c r="T113" s="1166">
        <v>26049504</v>
      </c>
      <c r="U113" s="1166">
        <v>0</v>
      </c>
      <c r="V113" s="1166">
        <v>16969235</v>
      </c>
      <c r="W113" s="1166">
        <v>0</v>
      </c>
      <c r="X113" s="1166">
        <v>0</v>
      </c>
      <c r="Y113" s="1166">
        <v>293371</v>
      </c>
      <c r="Z113" s="1166">
        <v>3365249</v>
      </c>
      <c r="AA113" s="1166">
        <v>753882</v>
      </c>
      <c r="AB113" s="1166">
        <v>1494666</v>
      </c>
      <c r="AC113" s="1166">
        <v>0</v>
      </c>
      <c r="AD113" s="1166">
        <v>23353</v>
      </c>
      <c r="AE113" s="1166">
        <v>1298612</v>
      </c>
      <c r="AF113" s="1166">
        <v>5634404</v>
      </c>
      <c r="AG113" s="1166">
        <v>7169</v>
      </c>
      <c r="AH113" s="1166">
        <v>0</v>
      </c>
      <c r="AI113" s="1166">
        <v>0</v>
      </c>
      <c r="AJ113" s="1166">
        <v>86895</v>
      </c>
      <c r="AK113" s="1166">
        <v>5669967</v>
      </c>
      <c r="AL113" s="1166">
        <v>47222</v>
      </c>
      <c r="AM113" s="1166">
        <v>0</v>
      </c>
      <c r="AN113" s="1166">
        <v>26595269</v>
      </c>
      <c r="AO113" s="1166">
        <v>23302539</v>
      </c>
      <c r="AP113" s="1166">
        <v>877070</v>
      </c>
      <c r="AQ113" s="1166">
        <v>0</v>
      </c>
      <c r="AR113" s="1166">
        <v>4354857</v>
      </c>
      <c r="AS113" s="1166">
        <v>397481</v>
      </c>
      <c r="AT113" s="1166">
        <v>428926</v>
      </c>
      <c r="AU113" s="1166">
        <v>465331</v>
      </c>
      <c r="AV113" s="1166">
        <v>9268205</v>
      </c>
      <c r="AW113" s="1166">
        <v>240325</v>
      </c>
      <c r="AX113" s="1166">
        <v>299718</v>
      </c>
      <c r="AY113" s="1166">
        <v>140301</v>
      </c>
      <c r="AZ113" s="1166">
        <v>434137</v>
      </c>
      <c r="BA113" s="1166">
        <v>4344537</v>
      </c>
      <c r="BB113" s="1166">
        <v>16123</v>
      </c>
      <c r="BC113" s="1166">
        <v>776949</v>
      </c>
      <c r="BD113" s="1166">
        <v>0</v>
      </c>
      <c r="BE113" s="1166">
        <v>0</v>
      </c>
      <c r="BF113" s="1166">
        <v>14425057</v>
      </c>
      <c r="BG113" s="1166">
        <v>0</v>
      </c>
      <c r="BH113" s="1166">
        <v>0</v>
      </c>
      <c r="BI113" s="1166">
        <v>2101556</v>
      </c>
      <c r="BJ113" s="1166">
        <v>1506849</v>
      </c>
      <c r="BK113" s="1166">
        <v>136218</v>
      </c>
      <c r="BL113" s="1166">
        <v>933745</v>
      </c>
      <c r="BM113" s="1166">
        <v>1416241</v>
      </c>
      <c r="BN113" s="1166">
        <v>0</v>
      </c>
      <c r="BO113" s="1166">
        <v>1984459</v>
      </c>
      <c r="BP113" s="1166">
        <v>933225</v>
      </c>
      <c r="BQ113" s="1166">
        <v>771094</v>
      </c>
      <c r="BR113" s="1166">
        <v>1828025</v>
      </c>
      <c r="BS113" s="1166">
        <v>0</v>
      </c>
      <c r="BT113" s="1166">
        <v>0</v>
      </c>
      <c r="BU113" s="1166">
        <v>436931</v>
      </c>
      <c r="BV113" s="1166">
        <v>5024080</v>
      </c>
      <c r="BW113" s="1166">
        <v>819581</v>
      </c>
      <c r="BX113" s="1166">
        <v>605259</v>
      </c>
      <c r="BY113" s="1166">
        <v>0</v>
      </c>
      <c r="BZ113" s="1166">
        <v>0</v>
      </c>
      <c r="CA113" s="1166">
        <v>10364647</v>
      </c>
      <c r="CB113" s="1166">
        <v>0</v>
      </c>
    </row>
    <row r="114" spans="1:80" s="1156" customFormat="1" x14ac:dyDescent="0.3">
      <c r="A114" s="1161">
        <v>350</v>
      </c>
      <c r="B114" s="1162">
        <v>350</v>
      </c>
      <c r="C114" s="1163" t="s">
        <v>231</v>
      </c>
      <c r="D114" s="1154" t="s">
        <v>431</v>
      </c>
      <c r="E114" s="1164">
        <v>0</v>
      </c>
      <c r="F114" s="1165">
        <v>0</v>
      </c>
      <c r="G114" s="1165">
        <v>0</v>
      </c>
      <c r="H114" s="1165">
        <v>1028314</v>
      </c>
      <c r="I114" s="1165">
        <v>135665</v>
      </c>
      <c r="J114" s="1165">
        <v>2225</v>
      </c>
      <c r="K114" s="1165">
        <v>63271</v>
      </c>
      <c r="L114" s="1166">
        <v>967</v>
      </c>
      <c r="M114" s="1166">
        <v>166676</v>
      </c>
      <c r="N114" s="1166">
        <v>0</v>
      </c>
      <c r="O114" s="1166">
        <v>8858</v>
      </c>
      <c r="P114" s="1166">
        <v>251</v>
      </c>
      <c r="Q114" s="1166">
        <v>0</v>
      </c>
      <c r="R114" s="1166">
        <v>182118</v>
      </c>
      <c r="S114" s="1166">
        <v>94580</v>
      </c>
      <c r="T114" s="1166">
        <v>147768</v>
      </c>
      <c r="U114" s="1166">
        <v>0</v>
      </c>
      <c r="V114" s="1166">
        <v>43979</v>
      </c>
      <c r="W114" s="1166">
        <v>0</v>
      </c>
      <c r="X114" s="1166">
        <v>0</v>
      </c>
      <c r="Y114" s="1166">
        <v>10615</v>
      </c>
      <c r="Z114" s="1166">
        <v>32995</v>
      </c>
      <c r="AA114" s="1166">
        <v>183974</v>
      </c>
      <c r="AB114" s="1166">
        <v>1171</v>
      </c>
      <c r="AC114" s="1166">
        <v>0</v>
      </c>
      <c r="AD114" s="1166">
        <v>48</v>
      </c>
      <c r="AE114" s="1166">
        <v>11175</v>
      </c>
      <c r="AF114" s="1166">
        <v>3440</v>
      </c>
      <c r="AG114" s="1166">
        <v>0</v>
      </c>
      <c r="AH114" s="1166">
        <v>0</v>
      </c>
      <c r="AI114" s="1166">
        <v>0</v>
      </c>
      <c r="AJ114" s="1166">
        <v>7015</v>
      </c>
      <c r="AK114" s="1166">
        <v>69897</v>
      </c>
      <c r="AL114" s="1166">
        <v>31796</v>
      </c>
      <c r="AM114" s="1166">
        <v>0</v>
      </c>
      <c r="AN114" s="1166">
        <v>210310</v>
      </c>
      <c r="AO114" s="1166">
        <v>73516</v>
      </c>
      <c r="AP114" s="1166">
        <v>0</v>
      </c>
      <c r="AQ114" s="1166">
        <v>0</v>
      </c>
      <c r="AR114" s="1166">
        <v>138772</v>
      </c>
      <c r="AS114" s="1166">
        <v>97519</v>
      </c>
      <c r="AT114" s="1166">
        <v>200</v>
      </c>
      <c r="AU114" s="1166">
        <v>23469</v>
      </c>
      <c r="AV114" s="1166">
        <v>148028</v>
      </c>
      <c r="AW114" s="1166">
        <v>3298</v>
      </c>
      <c r="AX114" s="1166">
        <v>588458</v>
      </c>
      <c r="AY114" s="1166">
        <v>0</v>
      </c>
      <c r="AZ114" s="1166">
        <v>12686</v>
      </c>
      <c r="BA114" s="1166">
        <v>22685</v>
      </c>
      <c r="BB114" s="1166">
        <v>0</v>
      </c>
      <c r="BC114" s="1166">
        <v>5</v>
      </c>
      <c r="BD114" s="1166">
        <v>0</v>
      </c>
      <c r="BE114" s="1166">
        <v>0</v>
      </c>
      <c r="BF114" s="1166">
        <v>1672536</v>
      </c>
      <c r="BG114" s="1166">
        <v>0</v>
      </c>
      <c r="BH114" s="1166">
        <v>0</v>
      </c>
      <c r="BI114" s="1166">
        <v>4034</v>
      </c>
      <c r="BJ114" s="1166">
        <v>45722</v>
      </c>
      <c r="BK114" s="1166">
        <v>43437</v>
      </c>
      <c r="BL114" s="1166">
        <v>47493</v>
      </c>
      <c r="BM114" s="1166">
        <v>39119</v>
      </c>
      <c r="BN114" s="1166">
        <v>0</v>
      </c>
      <c r="BO114" s="1166">
        <v>93841</v>
      </c>
      <c r="BP114" s="1166">
        <v>39318</v>
      </c>
      <c r="BQ114" s="1166">
        <v>0</v>
      </c>
      <c r="BR114" s="1166">
        <v>5521</v>
      </c>
      <c r="BS114" s="1166">
        <v>0</v>
      </c>
      <c r="BT114" s="1166">
        <v>0</v>
      </c>
      <c r="BU114" s="1166">
        <v>32472</v>
      </c>
      <c r="BV114" s="1166">
        <v>44374</v>
      </c>
      <c r="BW114" s="1166">
        <v>27849</v>
      </c>
      <c r="BX114" s="1166">
        <v>5481</v>
      </c>
      <c r="BY114" s="1166">
        <v>0</v>
      </c>
      <c r="BZ114" s="1166">
        <v>0</v>
      </c>
      <c r="CA114" s="1166">
        <v>105857</v>
      </c>
      <c r="CB114" s="1166">
        <v>0</v>
      </c>
    </row>
    <row r="115" spans="1:80" s="1156" customFormat="1" x14ac:dyDescent="0.3">
      <c r="A115" s="1161">
        <v>351</v>
      </c>
      <c r="B115" s="1162">
        <v>351</v>
      </c>
      <c r="C115" s="1163" t="s">
        <v>232</v>
      </c>
      <c r="D115" s="1154" t="s">
        <v>432</v>
      </c>
      <c r="E115" s="1164">
        <v>0</v>
      </c>
      <c r="F115" s="1165">
        <v>0</v>
      </c>
      <c r="G115" s="1165">
        <v>0</v>
      </c>
      <c r="H115" s="1165">
        <v>1839397</v>
      </c>
      <c r="I115" s="1165">
        <v>81227</v>
      </c>
      <c r="J115" s="1165">
        <v>0</v>
      </c>
      <c r="K115" s="1165">
        <v>0</v>
      </c>
      <c r="L115" s="1166">
        <v>68368</v>
      </c>
      <c r="M115" s="1166">
        <v>1779838</v>
      </c>
      <c r="N115" s="1166">
        <v>0</v>
      </c>
      <c r="O115" s="1166">
        <v>386</v>
      </c>
      <c r="P115" s="1166">
        <v>1409</v>
      </c>
      <c r="Q115" s="1166">
        <v>0</v>
      </c>
      <c r="R115" s="1166">
        <v>0</v>
      </c>
      <c r="S115" s="1166">
        <v>40777</v>
      </c>
      <c r="T115" s="1166">
        <v>6829</v>
      </c>
      <c r="U115" s="1166">
        <v>0</v>
      </c>
      <c r="V115" s="1166">
        <v>175604</v>
      </c>
      <c r="W115" s="1166">
        <v>0</v>
      </c>
      <c r="X115" s="1166">
        <v>0</v>
      </c>
      <c r="Y115" s="1166">
        <v>9633</v>
      </c>
      <c r="Z115" s="1166">
        <v>51692</v>
      </c>
      <c r="AA115" s="1166">
        <v>13760</v>
      </c>
      <c r="AB115" s="1166">
        <v>9028</v>
      </c>
      <c r="AC115" s="1166">
        <v>0</v>
      </c>
      <c r="AD115" s="1166">
        <v>0</v>
      </c>
      <c r="AE115" s="1166">
        <v>18300</v>
      </c>
      <c r="AF115" s="1166">
        <v>165988</v>
      </c>
      <c r="AG115" s="1166">
        <v>0</v>
      </c>
      <c r="AH115" s="1166">
        <v>0</v>
      </c>
      <c r="AI115" s="1166">
        <v>0</v>
      </c>
      <c r="AJ115" s="1166">
        <v>0</v>
      </c>
      <c r="AK115" s="1166">
        <v>1296379</v>
      </c>
      <c r="AL115" s="1166">
        <v>0</v>
      </c>
      <c r="AM115" s="1166">
        <v>0</v>
      </c>
      <c r="AN115" s="1166">
        <v>579179</v>
      </c>
      <c r="AO115" s="1166">
        <v>201318</v>
      </c>
      <c r="AP115" s="1166">
        <v>16526</v>
      </c>
      <c r="AQ115" s="1166">
        <v>0</v>
      </c>
      <c r="AR115" s="1166">
        <v>16042</v>
      </c>
      <c r="AS115" s="1166">
        <v>0</v>
      </c>
      <c r="AT115" s="1166">
        <v>6765</v>
      </c>
      <c r="AU115" s="1166">
        <v>0</v>
      </c>
      <c r="AV115" s="1166">
        <v>175910</v>
      </c>
      <c r="AW115" s="1166">
        <v>3060</v>
      </c>
      <c r="AX115" s="1166">
        <v>9939</v>
      </c>
      <c r="AY115" s="1166">
        <v>4652</v>
      </c>
      <c r="AZ115" s="1166">
        <v>4124</v>
      </c>
      <c r="BA115" s="1166">
        <v>102194</v>
      </c>
      <c r="BB115" s="1166">
        <v>0</v>
      </c>
      <c r="BC115" s="1166">
        <v>787</v>
      </c>
      <c r="BD115" s="1166">
        <v>0</v>
      </c>
      <c r="BE115" s="1166">
        <v>0</v>
      </c>
      <c r="BF115" s="1166">
        <v>36713</v>
      </c>
      <c r="BG115" s="1166">
        <v>0</v>
      </c>
      <c r="BH115" s="1166">
        <v>0</v>
      </c>
      <c r="BI115" s="1166">
        <v>50191</v>
      </c>
      <c r="BJ115" s="1166">
        <v>30800</v>
      </c>
      <c r="BK115" s="1166">
        <v>1653</v>
      </c>
      <c r="BL115" s="1166">
        <v>0</v>
      </c>
      <c r="BM115" s="1166">
        <v>7474</v>
      </c>
      <c r="BN115" s="1166">
        <v>0</v>
      </c>
      <c r="BO115" s="1166">
        <v>18358</v>
      </c>
      <c r="BP115" s="1166">
        <v>23427</v>
      </c>
      <c r="BQ115" s="1166">
        <v>34246</v>
      </c>
      <c r="BR115" s="1166">
        <v>0</v>
      </c>
      <c r="BS115" s="1166">
        <v>0</v>
      </c>
      <c r="BT115" s="1166">
        <v>0</v>
      </c>
      <c r="BU115" s="1166">
        <v>9443</v>
      </c>
      <c r="BV115" s="1166">
        <v>47228</v>
      </c>
      <c r="BW115" s="1166">
        <v>17803</v>
      </c>
      <c r="BX115" s="1166">
        <v>1084610</v>
      </c>
      <c r="BY115" s="1166">
        <v>0</v>
      </c>
      <c r="BZ115" s="1166">
        <v>0</v>
      </c>
      <c r="CA115" s="1166">
        <v>100206</v>
      </c>
      <c r="CB115" s="1166">
        <v>0</v>
      </c>
    </row>
    <row r="116" spans="1:80" s="1156" customFormat="1" x14ac:dyDescent="0.3">
      <c r="A116" s="1161">
        <v>352</v>
      </c>
      <c r="B116" s="1162">
        <v>352</v>
      </c>
      <c r="C116" s="1163" t="s">
        <v>234</v>
      </c>
      <c r="D116" s="1154" t="s">
        <v>433</v>
      </c>
      <c r="E116" s="1164">
        <v>0</v>
      </c>
      <c r="F116" s="1165">
        <v>0</v>
      </c>
      <c r="G116" s="1165">
        <v>0</v>
      </c>
      <c r="H116" s="1165">
        <v>587</v>
      </c>
      <c r="I116" s="1165">
        <v>0</v>
      </c>
      <c r="J116" s="1165">
        <v>0</v>
      </c>
      <c r="K116" s="1165">
        <v>263060</v>
      </c>
      <c r="L116" s="1166">
        <v>0</v>
      </c>
      <c r="M116" s="1166">
        <v>595000</v>
      </c>
      <c r="N116" s="1166">
        <v>0</v>
      </c>
      <c r="O116" s="1166">
        <v>0</v>
      </c>
      <c r="P116" s="1166">
        <v>0</v>
      </c>
      <c r="Q116" s="1166">
        <v>0</v>
      </c>
      <c r="R116" s="1166">
        <v>0</v>
      </c>
      <c r="S116" s="1166">
        <v>0</v>
      </c>
      <c r="T116" s="1166">
        <v>0</v>
      </c>
      <c r="U116" s="1166">
        <v>0</v>
      </c>
      <c r="V116" s="1166">
        <v>1067300</v>
      </c>
      <c r="W116" s="1166">
        <v>0</v>
      </c>
      <c r="X116" s="1166">
        <v>0</v>
      </c>
      <c r="Y116" s="1166">
        <v>0</v>
      </c>
      <c r="Z116" s="1166">
        <v>0</v>
      </c>
      <c r="AA116" s="1166">
        <v>0</v>
      </c>
      <c r="AB116" s="1166">
        <v>0</v>
      </c>
      <c r="AC116" s="1166">
        <v>0</v>
      </c>
      <c r="AD116" s="1166">
        <v>0</v>
      </c>
      <c r="AE116" s="1166">
        <v>0</v>
      </c>
      <c r="AF116" s="1166">
        <v>0</v>
      </c>
      <c r="AG116" s="1166">
        <v>0</v>
      </c>
      <c r="AH116" s="1166">
        <v>0</v>
      </c>
      <c r="AI116" s="1166">
        <v>0</v>
      </c>
      <c r="AJ116" s="1166">
        <v>0</v>
      </c>
      <c r="AK116" s="1166">
        <v>0</v>
      </c>
      <c r="AL116" s="1166">
        <v>0</v>
      </c>
      <c r="AM116" s="1166">
        <v>0</v>
      </c>
      <c r="AN116" s="1166">
        <v>7983058</v>
      </c>
      <c r="AO116" s="1166">
        <v>0</v>
      </c>
      <c r="AP116" s="1166">
        <v>100</v>
      </c>
      <c r="AQ116" s="1166">
        <v>0</v>
      </c>
      <c r="AR116" s="1166">
        <v>0</v>
      </c>
      <c r="AS116" s="1166">
        <v>0</v>
      </c>
      <c r="AT116" s="1166">
        <v>10765</v>
      </c>
      <c r="AU116" s="1166">
        <v>0</v>
      </c>
      <c r="AV116" s="1166">
        <v>0</v>
      </c>
      <c r="AW116" s="1166">
        <v>0</v>
      </c>
      <c r="AX116" s="1166">
        <v>0</v>
      </c>
      <c r="AY116" s="1166">
        <v>0</v>
      </c>
      <c r="AZ116" s="1166">
        <v>0</v>
      </c>
      <c r="BA116" s="1166">
        <v>0</v>
      </c>
      <c r="BB116" s="1166">
        <v>0</v>
      </c>
      <c r="BC116" s="1166">
        <v>0</v>
      </c>
      <c r="BD116" s="1166">
        <v>0</v>
      </c>
      <c r="BE116" s="1166">
        <v>0</v>
      </c>
      <c r="BF116" s="1166">
        <v>0</v>
      </c>
      <c r="BG116" s="1166">
        <v>0</v>
      </c>
      <c r="BH116" s="1166">
        <v>0</v>
      </c>
      <c r="BI116" s="1166">
        <v>0</v>
      </c>
      <c r="BJ116" s="1166">
        <v>0</v>
      </c>
      <c r="BK116" s="1166">
        <v>0</v>
      </c>
      <c r="BL116" s="1166">
        <v>0</v>
      </c>
      <c r="BM116" s="1166">
        <v>0</v>
      </c>
      <c r="BN116" s="1166">
        <v>0</v>
      </c>
      <c r="BO116" s="1166">
        <v>0</v>
      </c>
      <c r="BP116" s="1166">
        <v>0</v>
      </c>
      <c r="BQ116" s="1166">
        <v>0</v>
      </c>
      <c r="BR116" s="1166">
        <v>0</v>
      </c>
      <c r="BS116" s="1166">
        <v>0</v>
      </c>
      <c r="BT116" s="1166">
        <v>0</v>
      </c>
      <c r="BU116" s="1166">
        <v>6211</v>
      </c>
      <c r="BV116" s="1166">
        <v>21072</v>
      </c>
      <c r="BW116" s="1166">
        <v>129596</v>
      </c>
      <c r="BX116" s="1166">
        <v>0</v>
      </c>
      <c r="BY116" s="1166">
        <v>0</v>
      </c>
      <c r="BZ116" s="1166">
        <v>0</v>
      </c>
      <c r="CA116" s="1166">
        <v>1395</v>
      </c>
      <c r="CB116" s="1166">
        <v>0</v>
      </c>
    </row>
    <row r="117" spans="1:80" s="1156" customFormat="1" x14ac:dyDescent="0.3">
      <c r="A117" s="1161">
        <v>353</v>
      </c>
      <c r="B117" s="1162">
        <v>353</v>
      </c>
      <c r="C117" s="1163" t="s">
        <v>235</v>
      </c>
      <c r="D117" s="1154" t="s">
        <v>434</v>
      </c>
      <c r="E117" s="1164">
        <v>0</v>
      </c>
      <c r="F117" s="1165">
        <v>0</v>
      </c>
      <c r="G117" s="1165">
        <v>0</v>
      </c>
      <c r="H117" s="1165">
        <v>253038</v>
      </c>
      <c r="I117" s="1165">
        <v>0</v>
      </c>
      <c r="J117" s="1165">
        <v>0</v>
      </c>
      <c r="K117" s="1165">
        <v>0</v>
      </c>
      <c r="L117" s="1166">
        <v>0</v>
      </c>
      <c r="M117" s="1166">
        <v>2521824</v>
      </c>
      <c r="N117" s="1166">
        <v>0</v>
      </c>
      <c r="O117" s="1166">
        <v>0</v>
      </c>
      <c r="P117" s="1166">
        <v>0</v>
      </c>
      <c r="Q117" s="1166">
        <v>0</v>
      </c>
      <c r="R117" s="1166">
        <v>0</v>
      </c>
      <c r="S117" s="1166">
        <v>0</v>
      </c>
      <c r="T117" s="1166">
        <v>0</v>
      </c>
      <c r="U117" s="1166">
        <v>0</v>
      </c>
      <c r="V117" s="1166">
        <v>978150</v>
      </c>
      <c r="W117" s="1166">
        <v>0</v>
      </c>
      <c r="X117" s="1166">
        <v>0</v>
      </c>
      <c r="Y117" s="1166">
        <v>0</v>
      </c>
      <c r="Z117" s="1166">
        <v>0</v>
      </c>
      <c r="AA117" s="1166">
        <v>20462</v>
      </c>
      <c r="AB117" s="1166">
        <v>0</v>
      </c>
      <c r="AC117" s="1166">
        <v>0</v>
      </c>
      <c r="AD117" s="1166">
        <v>0</v>
      </c>
      <c r="AE117" s="1166">
        <v>0</v>
      </c>
      <c r="AF117" s="1166">
        <v>0</v>
      </c>
      <c r="AG117" s="1166">
        <v>0</v>
      </c>
      <c r="AH117" s="1166">
        <v>0</v>
      </c>
      <c r="AI117" s="1166">
        <v>0</v>
      </c>
      <c r="AJ117" s="1166">
        <v>0</v>
      </c>
      <c r="AK117" s="1166">
        <v>0</v>
      </c>
      <c r="AL117" s="1166">
        <v>0</v>
      </c>
      <c r="AM117" s="1166">
        <v>0</v>
      </c>
      <c r="AN117" s="1166">
        <v>8143148</v>
      </c>
      <c r="AO117" s="1166">
        <v>0</v>
      </c>
      <c r="AP117" s="1166">
        <v>0</v>
      </c>
      <c r="AQ117" s="1166">
        <v>0</v>
      </c>
      <c r="AR117" s="1166">
        <v>357314</v>
      </c>
      <c r="AS117" s="1166">
        <v>0</v>
      </c>
      <c r="AT117" s="1166">
        <v>11853</v>
      </c>
      <c r="AU117" s="1166">
        <v>0</v>
      </c>
      <c r="AV117" s="1166">
        <v>379096</v>
      </c>
      <c r="AW117" s="1166">
        <v>20000</v>
      </c>
      <c r="AX117" s="1166">
        <v>0</v>
      </c>
      <c r="AY117" s="1166">
        <v>0</v>
      </c>
      <c r="AZ117" s="1166">
        <v>60000</v>
      </c>
      <c r="BA117" s="1166">
        <v>0</v>
      </c>
      <c r="BB117" s="1166">
        <v>0</v>
      </c>
      <c r="BC117" s="1166">
        <v>0</v>
      </c>
      <c r="BD117" s="1166">
        <v>0</v>
      </c>
      <c r="BE117" s="1166">
        <v>0</v>
      </c>
      <c r="BF117" s="1166">
        <v>0</v>
      </c>
      <c r="BG117" s="1166">
        <v>0</v>
      </c>
      <c r="BH117" s="1166">
        <v>0</v>
      </c>
      <c r="BI117" s="1166">
        <v>0</v>
      </c>
      <c r="BJ117" s="1166">
        <v>0</v>
      </c>
      <c r="BK117" s="1166">
        <v>0</v>
      </c>
      <c r="BL117" s="1166">
        <v>0</v>
      </c>
      <c r="BM117" s="1166">
        <v>0</v>
      </c>
      <c r="BN117" s="1166">
        <v>0</v>
      </c>
      <c r="BO117" s="1166">
        <v>173000</v>
      </c>
      <c r="BP117" s="1166">
        <v>0</v>
      </c>
      <c r="BQ117" s="1166">
        <v>0</v>
      </c>
      <c r="BR117" s="1166">
        <v>1495868</v>
      </c>
      <c r="BS117" s="1166">
        <v>0</v>
      </c>
      <c r="BT117" s="1166">
        <v>0</v>
      </c>
      <c r="BU117" s="1166">
        <v>0</v>
      </c>
      <c r="BV117" s="1166">
        <v>0</v>
      </c>
      <c r="BW117" s="1166">
        <v>0</v>
      </c>
      <c r="BX117" s="1166">
        <v>0</v>
      </c>
      <c r="BY117" s="1166">
        <v>0</v>
      </c>
      <c r="BZ117" s="1166">
        <v>0</v>
      </c>
      <c r="CA117" s="1166">
        <v>0</v>
      </c>
      <c r="CB117" s="1166">
        <v>0</v>
      </c>
    </row>
    <row r="118" spans="1:80" s="1156" customFormat="1" x14ac:dyDescent="0.3">
      <c r="A118" s="1161">
        <v>356</v>
      </c>
      <c r="B118" s="1162">
        <v>356</v>
      </c>
      <c r="C118" s="1163" t="s">
        <v>552</v>
      </c>
      <c r="D118" s="1154" t="s">
        <v>435</v>
      </c>
      <c r="E118" s="1164">
        <v>0</v>
      </c>
      <c r="F118" s="1165">
        <v>0</v>
      </c>
      <c r="G118" s="1165">
        <v>0</v>
      </c>
      <c r="H118" s="1165">
        <v>0</v>
      </c>
      <c r="I118" s="1165">
        <v>0</v>
      </c>
      <c r="J118" s="1165">
        <v>0</v>
      </c>
      <c r="K118" s="1165">
        <v>0</v>
      </c>
      <c r="L118" s="1166">
        <v>0</v>
      </c>
      <c r="M118" s="1166">
        <v>0</v>
      </c>
      <c r="N118" s="1166">
        <v>0</v>
      </c>
      <c r="O118" s="1166">
        <v>0</v>
      </c>
      <c r="P118" s="1166">
        <v>0</v>
      </c>
      <c r="Q118" s="1166">
        <v>0</v>
      </c>
      <c r="R118" s="1166">
        <v>0</v>
      </c>
      <c r="S118" s="1166">
        <v>0</v>
      </c>
      <c r="T118" s="1166">
        <v>14116077</v>
      </c>
      <c r="U118" s="1166">
        <v>0</v>
      </c>
      <c r="V118" s="1166">
        <v>47295680</v>
      </c>
      <c r="W118" s="1166">
        <v>0</v>
      </c>
      <c r="X118" s="1166">
        <v>0</v>
      </c>
      <c r="Y118" s="1166">
        <v>0</v>
      </c>
      <c r="Z118" s="1166">
        <v>0</v>
      </c>
      <c r="AA118" s="1166">
        <v>2225273</v>
      </c>
      <c r="AB118" s="1166">
        <v>2175783</v>
      </c>
      <c r="AC118" s="1166">
        <v>0</v>
      </c>
      <c r="AD118" s="1166">
        <v>0</v>
      </c>
      <c r="AE118" s="1166">
        <v>0</v>
      </c>
      <c r="AF118" s="1166">
        <v>6302281</v>
      </c>
      <c r="AG118" s="1166">
        <v>0</v>
      </c>
      <c r="AH118" s="1166">
        <v>0</v>
      </c>
      <c r="AI118" s="1166">
        <v>0</v>
      </c>
      <c r="AJ118" s="1166">
        <v>0</v>
      </c>
      <c r="AK118" s="1166">
        <v>17063451</v>
      </c>
      <c r="AL118" s="1166">
        <v>0</v>
      </c>
      <c r="AM118" s="1166">
        <v>0</v>
      </c>
      <c r="AN118" s="1166">
        <v>0</v>
      </c>
      <c r="AO118" s="1166">
        <v>0</v>
      </c>
      <c r="AP118" s="1166">
        <v>0</v>
      </c>
      <c r="AQ118" s="1166">
        <v>0</v>
      </c>
      <c r="AR118" s="1166">
        <v>68632094</v>
      </c>
      <c r="AS118" s="1166">
        <v>0</v>
      </c>
      <c r="AT118" s="1166">
        <v>0</v>
      </c>
      <c r="AU118" s="1166">
        <v>0</v>
      </c>
      <c r="AV118" s="1166">
        <v>6253714</v>
      </c>
      <c r="AW118" s="1166">
        <v>0</v>
      </c>
      <c r="AX118" s="1166">
        <v>0</v>
      </c>
      <c r="AY118" s="1166">
        <v>0</v>
      </c>
      <c r="AZ118" s="1166">
        <v>0</v>
      </c>
      <c r="BA118" s="1166">
        <v>10800097</v>
      </c>
      <c r="BB118" s="1166">
        <v>0</v>
      </c>
      <c r="BC118" s="1166">
        <v>0</v>
      </c>
      <c r="BD118" s="1166">
        <v>0</v>
      </c>
      <c r="BE118" s="1166">
        <v>0</v>
      </c>
      <c r="BF118" s="1166">
        <v>35732952</v>
      </c>
      <c r="BG118" s="1166">
        <v>0</v>
      </c>
      <c r="BH118" s="1166">
        <v>0</v>
      </c>
      <c r="BI118" s="1166">
        <v>0</v>
      </c>
      <c r="BJ118" s="1166">
        <v>0</v>
      </c>
      <c r="BK118" s="1166">
        <v>0</v>
      </c>
      <c r="BL118" s="1166">
        <v>6765833</v>
      </c>
      <c r="BM118" s="1166">
        <v>0</v>
      </c>
      <c r="BN118" s="1166">
        <v>0</v>
      </c>
      <c r="BO118" s="1166">
        <v>0</v>
      </c>
      <c r="BP118" s="1166">
        <v>0</v>
      </c>
      <c r="BQ118" s="1166">
        <v>0</v>
      </c>
      <c r="BR118" s="1166">
        <v>0</v>
      </c>
      <c r="BS118" s="1166">
        <v>0</v>
      </c>
      <c r="BT118" s="1166">
        <v>0</v>
      </c>
      <c r="BU118" s="1166">
        <v>0</v>
      </c>
      <c r="BV118" s="1166">
        <v>0</v>
      </c>
      <c r="BW118" s="1166">
        <v>0</v>
      </c>
      <c r="BX118" s="1166">
        <v>0</v>
      </c>
      <c r="BY118" s="1166">
        <v>0</v>
      </c>
      <c r="BZ118" s="1166">
        <v>0</v>
      </c>
      <c r="CA118" s="1166">
        <v>0</v>
      </c>
      <c r="CB118" s="1166">
        <v>0</v>
      </c>
    </row>
    <row r="119" spans="1:80" s="1156" customFormat="1" x14ac:dyDescent="0.3">
      <c r="A119" s="1161">
        <v>357</v>
      </c>
      <c r="B119" s="1162">
        <v>357</v>
      </c>
      <c r="C119" s="1163" t="s">
        <v>553</v>
      </c>
      <c r="D119" s="1154" t="s">
        <v>436</v>
      </c>
      <c r="E119" s="1164">
        <v>0</v>
      </c>
      <c r="F119" s="1165">
        <v>0</v>
      </c>
      <c r="G119" s="1165">
        <v>0</v>
      </c>
      <c r="H119" s="1165">
        <v>0</v>
      </c>
      <c r="I119" s="1165">
        <v>0</v>
      </c>
      <c r="J119" s="1165">
        <v>0</v>
      </c>
      <c r="K119" s="1165">
        <v>0</v>
      </c>
      <c r="L119" s="1166">
        <v>0</v>
      </c>
      <c r="M119" s="1166">
        <v>0</v>
      </c>
      <c r="N119" s="1166">
        <v>0</v>
      </c>
      <c r="O119" s="1166">
        <v>0</v>
      </c>
      <c r="P119" s="1166">
        <v>0</v>
      </c>
      <c r="Q119" s="1166">
        <v>0</v>
      </c>
      <c r="R119" s="1166">
        <v>0</v>
      </c>
      <c r="S119" s="1166">
        <v>0</v>
      </c>
      <c r="T119" s="1166">
        <v>8728372</v>
      </c>
      <c r="U119" s="1166">
        <v>0</v>
      </c>
      <c r="V119" s="1166">
        <v>30038460</v>
      </c>
      <c r="W119" s="1166">
        <v>0</v>
      </c>
      <c r="X119" s="1166">
        <v>0</v>
      </c>
      <c r="Y119" s="1166">
        <v>0</v>
      </c>
      <c r="Z119" s="1166">
        <v>0</v>
      </c>
      <c r="AA119" s="1166">
        <v>1448813</v>
      </c>
      <c r="AB119" s="1166">
        <v>1229889</v>
      </c>
      <c r="AC119" s="1166">
        <v>0</v>
      </c>
      <c r="AD119" s="1166">
        <v>0</v>
      </c>
      <c r="AE119" s="1166">
        <v>0</v>
      </c>
      <c r="AF119" s="1166">
        <v>3995269</v>
      </c>
      <c r="AG119" s="1166">
        <v>0</v>
      </c>
      <c r="AH119" s="1166">
        <v>0</v>
      </c>
      <c r="AI119" s="1166">
        <v>0</v>
      </c>
      <c r="AJ119" s="1166">
        <v>0</v>
      </c>
      <c r="AK119" s="1166">
        <v>10575377</v>
      </c>
      <c r="AL119" s="1166">
        <v>0</v>
      </c>
      <c r="AM119" s="1166">
        <v>0</v>
      </c>
      <c r="AN119" s="1166">
        <v>0</v>
      </c>
      <c r="AO119" s="1166">
        <v>0</v>
      </c>
      <c r="AP119" s="1166">
        <v>0</v>
      </c>
      <c r="AQ119" s="1166">
        <v>0</v>
      </c>
      <c r="AR119" s="1166">
        <v>33300294</v>
      </c>
      <c r="AS119" s="1166">
        <v>0</v>
      </c>
      <c r="AT119" s="1166">
        <v>0</v>
      </c>
      <c r="AU119" s="1166">
        <v>0</v>
      </c>
      <c r="AV119" s="1166">
        <v>4369561</v>
      </c>
      <c r="AW119" s="1166">
        <v>0</v>
      </c>
      <c r="AX119" s="1166">
        <v>0</v>
      </c>
      <c r="AY119" s="1166">
        <v>0</v>
      </c>
      <c r="AZ119" s="1166">
        <v>0</v>
      </c>
      <c r="BA119" s="1166">
        <v>7827873</v>
      </c>
      <c r="BB119" s="1166">
        <v>0</v>
      </c>
      <c r="BC119" s="1166">
        <v>0</v>
      </c>
      <c r="BD119" s="1166">
        <v>0</v>
      </c>
      <c r="BE119" s="1166">
        <v>0</v>
      </c>
      <c r="BF119" s="1166">
        <v>23101162</v>
      </c>
      <c r="BG119" s="1166">
        <v>0</v>
      </c>
      <c r="BH119" s="1166">
        <v>0</v>
      </c>
      <c r="BI119" s="1166">
        <v>0</v>
      </c>
      <c r="BJ119" s="1166">
        <v>0</v>
      </c>
      <c r="BK119" s="1166">
        <v>0</v>
      </c>
      <c r="BL119" s="1166">
        <v>4499353</v>
      </c>
      <c r="BM119" s="1166">
        <v>0</v>
      </c>
      <c r="BN119" s="1166">
        <v>0</v>
      </c>
      <c r="BO119" s="1166">
        <v>0</v>
      </c>
      <c r="BP119" s="1166">
        <v>0</v>
      </c>
      <c r="BQ119" s="1166">
        <v>0</v>
      </c>
      <c r="BR119" s="1166">
        <v>0</v>
      </c>
      <c r="BS119" s="1166">
        <v>0</v>
      </c>
      <c r="BT119" s="1166">
        <v>0</v>
      </c>
      <c r="BU119" s="1166">
        <v>0</v>
      </c>
      <c r="BV119" s="1166">
        <v>0</v>
      </c>
      <c r="BW119" s="1166">
        <v>0</v>
      </c>
      <c r="BX119" s="1166">
        <v>0</v>
      </c>
      <c r="BY119" s="1166">
        <v>0</v>
      </c>
      <c r="BZ119" s="1166">
        <v>0</v>
      </c>
      <c r="CA119" s="1166">
        <v>0</v>
      </c>
      <c r="CB119" s="1166">
        <v>0</v>
      </c>
    </row>
    <row r="120" spans="1:80" s="1156" customFormat="1" x14ac:dyDescent="0.3">
      <c r="A120" s="1161">
        <v>359</v>
      </c>
      <c r="B120" s="1162">
        <v>359</v>
      </c>
      <c r="C120" s="1163" t="s">
        <v>256</v>
      </c>
      <c r="D120" s="1154" t="s">
        <v>437</v>
      </c>
      <c r="E120" s="1164">
        <v>0</v>
      </c>
      <c r="F120" s="1165">
        <v>0</v>
      </c>
      <c r="G120" s="1165">
        <v>0</v>
      </c>
      <c r="H120" s="1165">
        <v>0</v>
      </c>
      <c r="I120" s="1165">
        <v>0</v>
      </c>
      <c r="J120" s="1165">
        <v>0</v>
      </c>
      <c r="K120" s="1165">
        <v>0</v>
      </c>
      <c r="L120" s="1166">
        <v>0</v>
      </c>
      <c r="M120" s="1166">
        <v>0</v>
      </c>
      <c r="N120" s="1166">
        <v>0</v>
      </c>
      <c r="O120" s="1166">
        <v>0</v>
      </c>
      <c r="P120" s="1166">
        <v>0</v>
      </c>
      <c r="Q120" s="1166">
        <v>0</v>
      </c>
      <c r="R120" s="1166">
        <v>0</v>
      </c>
      <c r="S120" s="1166">
        <v>0</v>
      </c>
      <c r="T120" s="1166">
        <v>457087</v>
      </c>
      <c r="U120" s="1166">
        <v>0</v>
      </c>
      <c r="V120" s="1166">
        <v>1206280</v>
      </c>
      <c r="W120" s="1166">
        <v>0</v>
      </c>
      <c r="X120" s="1166">
        <v>0</v>
      </c>
      <c r="Y120" s="1166">
        <v>0</v>
      </c>
      <c r="Z120" s="1166">
        <v>0</v>
      </c>
      <c r="AA120" s="1166">
        <v>93594</v>
      </c>
      <c r="AB120" s="1166">
        <v>0</v>
      </c>
      <c r="AC120" s="1166">
        <v>0</v>
      </c>
      <c r="AD120" s="1166">
        <v>0</v>
      </c>
      <c r="AE120" s="1166">
        <v>0</v>
      </c>
      <c r="AF120" s="1166">
        <v>0</v>
      </c>
      <c r="AG120" s="1166">
        <v>0</v>
      </c>
      <c r="AH120" s="1166">
        <v>0</v>
      </c>
      <c r="AI120" s="1166">
        <v>0</v>
      </c>
      <c r="AJ120" s="1166">
        <v>0</v>
      </c>
      <c r="AK120" s="1166">
        <v>1556280</v>
      </c>
      <c r="AL120" s="1166">
        <v>0</v>
      </c>
      <c r="AM120" s="1166">
        <v>0</v>
      </c>
      <c r="AN120" s="1166">
        <v>0</v>
      </c>
      <c r="AO120" s="1166">
        <v>0</v>
      </c>
      <c r="AP120" s="1166">
        <v>0</v>
      </c>
      <c r="AQ120" s="1166">
        <v>0</v>
      </c>
      <c r="AR120" s="1166">
        <v>4421780</v>
      </c>
      <c r="AS120" s="1166">
        <v>0</v>
      </c>
      <c r="AT120" s="1166">
        <v>0</v>
      </c>
      <c r="AU120" s="1166">
        <v>0</v>
      </c>
      <c r="AV120" s="1166">
        <v>0</v>
      </c>
      <c r="AW120" s="1166">
        <v>0</v>
      </c>
      <c r="AX120" s="1166">
        <v>0</v>
      </c>
      <c r="AY120" s="1166">
        <v>0</v>
      </c>
      <c r="AZ120" s="1166">
        <v>0</v>
      </c>
      <c r="BA120" s="1166">
        <v>230378</v>
      </c>
      <c r="BB120" s="1166">
        <v>0</v>
      </c>
      <c r="BC120" s="1166">
        <v>0</v>
      </c>
      <c r="BD120" s="1166">
        <v>0</v>
      </c>
      <c r="BE120" s="1166">
        <v>0</v>
      </c>
      <c r="BF120" s="1166">
        <v>0</v>
      </c>
      <c r="BG120" s="1166">
        <v>0</v>
      </c>
      <c r="BH120" s="1166">
        <v>0</v>
      </c>
      <c r="BI120" s="1166">
        <v>0</v>
      </c>
      <c r="BJ120" s="1166">
        <v>0</v>
      </c>
      <c r="BK120" s="1166">
        <v>0</v>
      </c>
      <c r="BL120" s="1166">
        <v>0</v>
      </c>
      <c r="BM120" s="1166">
        <v>0</v>
      </c>
      <c r="BN120" s="1166">
        <v>0</v>
      </c>
      <c r="BO120" s="1166">
        <v>0</v>
      </c>
      <c r="BP120" s="1166">
        <v>0</v>
      </c>
      <c r="BQ120" s="1166">
        <v>0</v>
      </c>
      <c r="BR120" s="1166">
        <v>0</v>
      </c>
      <c r="BS120" s="1166">
        <v>0</v>
      </c>
      <c r="BT120" s="1166">
        <v>0</v>
      </c>
      <c r="BU120" s="1166">
        <v>0</v>
      </c>
      <c r="BV120" s="1166">
        <v>0</v>
      </c>
      <c r="BW120" s="1166">
        <v>0</v>
      </c>
      <c r="BX120" s="1166">
        <v>0</v>
      </c>
      <c r="BY120" s="1166">
        <v>0</v>
      </c>
      <c r="BZ120" s="1166">
        <v>0</v>
      </c>
      <c r="CA120" s="1166">
        <v>0</v>
      </c>
      <c r="CB120" s="1166">
        <v>0</v>
      </c>
    </row>
    <row r="121" spans="1:80" s="1156" customFormat="1" x14ac:dyDescent="0.3">
      <c r="A121" s="1161">
        <v>360</v>
      </c>
      <c r="B121" s="1162">
        <v>360</v>
      </c>
      <c r="C121" s="1163" t="s">
        <v>125</v>
      </c>
      <c r="D121" s="1154" t="s">
        <v>438</v>
      </c>
      <c r="E121" s="1164">
        <v>0</v>
      </c>
      <c r="F121" s="1165">
        <v>0</v>
      </c>
      <c r="G121" s="1165">
        <v>0</v>
      </c>
      <c r="H121" s="1165">
        <v>0</v>
      </c>
      <c r="I121" s="1165">
        <v>0</v>
      </c>
      <c r="J121" s="1165">
        <v>0</v>
      </c>
      <c r="K121" s="1165">
        <v>0</v>
      </c>
      <c r="L121" s="1166">
        <v>0</v>
      </c>
      <c r="M121" s="1166">
        <v>0</v>
      </c>
      <c r="N121" s="1166">
        <v>0</v>
      </c>
      <c r="O121" s="1166">
        <v>0</v>
      </c>
      <c r="P121" s="1166">
        <v>0</v>
      </c>
      <c r="Q121" s="1166">
        <v>0</v>
      </c>
      <c r="R121" s="1166">
        <v>0</v>
      </c>
      <c r="S121" s="1166">
        <v>0</v>
      </c>
      <c r="T121" s="1166">
        <v>2905500</v>
      </c>
      <c r="U121" s="1166">
        <v>0</v>
      </c>
      <c r="V121" s="1166">
        <v>3653363</v>
      </c>
      <c r="W121" s="1166">
        <v>0</v>
      </c>
      <c r="X121" s="1166">
        <v>0</v>
      </c>
      <c r="Y121" s="1166">
        <v>0</v>
      </c>
      <c r="Z121" s="1166">
        <v>0</v>
      </c>
      <c r="AA121" s="1166">
        <v>693816</v>
      </c>
      <c r="AB121" s="1166">
        <v>499485</v>
      </c>
      <c r="AC121" s="1166">
        <v>0</v>
      </c>
      <c r="AD121" s="1166">
        <v>0</v>
      </c>
      <c r="AE121" s="1166">
        <v>0</v>
      </c>
      <c r="AF121" s="1166">
        <v>838711</v>
      </c>
      <c r="AG121" s="1166">
        <v>0</v>
      </c>
      <c r="AH121" s="1166">
        <v>0</v>
      </c>
      <c r="AI121" s="1166">
        <v>0</v>
      </c>
      <c r="AJ121" s="1166">
        <v>0</v>
      </c>
      <c r="AK121" s="1166">
        <v>3880871</v>
      </c>
      <c r="AL121" s="1166">
        <v>0</v>
      </c>
      <c r="AM121" s="1166">
        <v>0</v>
      </c>
      <c r="AN121" s="1166">
        <v>0</v>
      </c>
      <c r="AO121" s="1166">
        <v>0</v>
      </c>
      <c r="AP121" s="1166">
        <v>0</v>
      </c>
      <c r="AQ121" s="1166">
        <v>0</v>
      </c>
      <c r="AR121" s="1166">
        <v>9867494</v>
      </c>
      <c r="AS121" s="1166">
        <v>0</v>
      </c>
      <c r="AT121" s="1166">
        <v>0</v>
      </c>
      <c r="AU121" s="1166">
        <v>0</v>
      </c>
      <c r="AV121" s="1166">
        <v>1503653</v>
      </c>
      <c r="AW121" s="1166">
        <v>0</v>
      </c>
      <c r="AX121" s="1166">
        <v>0</v>
      </c>
      <c r="AY121" s="1166">
        <v>0</v>
      </c>
      <c r="AZ121" s="1166">
        <v>0</v>
      </c>
      <c r="BA121" s="1166">
        <v>1374646</v>
      </c>
      <c r="BB121" s="1166">
        <v>0</v>
      </c>
      <c r="BC121" s="1166">
        <v>0</v>
      </c>
      <c r="BD121" s="1166">
        <v>0</v>
      </c>
      <c r="BE121" s="1166">
        <v>0</v>
      </c>
      <c r="BF121" s="1166">
        <v>9694508</v>
      </c>
      <c r="BG121" s="1166">
        <v>0</v>
      </c>
      <c r="BH121" s="1166">
        <v>0</v>
      </c>
      <c r="BI121" s="1166">
        <v>0</v>
      </c>
      <c r="BJ121" s="1166">
        <v>0</v>
      </c>
      <c r="BK121" s="1166">
        <v>0</v>
      </c>
      <c r="BL121" s="1166">
        <v>315641</v>
      </c>
      <c r="BM121" s="1166">
        <v>0</v>
      </c>
      <c r="BN121" s="1166">
        <v>0</v>
      </c>
      <c r="BO121" s="1166">
        <v>0</v>
      </c>
      <c r="BP121" s="1166">
        <v>0</v>
      </c>
      <c r="BQ121" s="1166">
        <v>0</v>
      </c>
      <c r="BR121" s="1166">
        <v>0</v>
      </c>
      <c r="BS121" s="1166">
        <v>0</v>
      </c>
      <c r="BT121" s="1166">
        <v>0</v>
      </c>
      <c r="BU121" s="1166">
        <v>0</v>
      </c>
      <c r="BV121" s="1166">
        <v>0</v>
      </c>
      <c r="BW121" s="1166">
        <v>0</v>
      </c>
      <c r="BX121" s="1166">
        <v>0</v>
      </c>
      <c r="BY121" s="1166">
        <v>0</v>
      </c>
      <c r="BZ121" s="1166">
        <v>0</v>
      </c>
      <c r="CA121" s="1166">
        <v>0</v>
      </c>
      <c r="CB121" s="1166">
        <v>0</v>
      </c>
    </row>
    <row r="122" spans="1:80" s="1156" customFormat="1" x14ac:dyDescent="0.3">
      <c r="A122" s="1161">
        <v>361</v>
      </c>
      <c r="B122" s="1162">
        <v>361</v>
      </c>
      <c r="C122" s="1163" t="s">
        <v>106</v>
      </c>
      <c r="D122" s="1154" t="s">
        <v>439</v>
      </c>
      <c r="E122" s="1164">
        <v>0</v>
      </c>
      <c r="F122" s="1165">
        <v>0</v>
      </c>
      <c r="G122" s="1165">
        <v>0</v>
      </c>
      <c r="H122" s="1165">
        <v>0</v>
      </c>
      <c r="I122" s="1165">
        <v>0</v>
      </c>
      <c r="J122" s="1165">
        <v>0</v>
      </c>
      <c r="K122" s="1165">
        <v>0</v>
      </c>
      <c r="L122" s="1166">
        <v>0</v>
      </c>
      <c r="M122" s="1166">
        <v>0</v>
      </c>
      <c r="N122" s="1166">
        <v>0</v>
      </c>
      <c r="O122" s="1166">
        <v>0</v>
      </c>
      <c r="P122" s="1166">
        <v>0</v>
      </c>
      <c r="Q122" s="1166">
        <v>0</v>
      </c>
      <c r="R122" s="1166">
        <v>0</v>
      </c>
      <c r="S122" s="1166">
        <v>0</v>
      </c>
      <c r="T122" s="1166">
        <v>5710295</v>
      </c>
      <c r="U122" s="1166">
        <v>0</v>
      </c>
      <c r="V122" s="1166">
        <v>31287845</v>
      </c>
      <c r="W122" s="1166">
        <v>0</v>
      </c>
      <c r="X122" s="1166">
        <v>0</v>
      </c>
      <c r="Y122" s="1166">
        <v>0</v>
      </c>
      <c r="Z122" s="1166">
        <v>0</v>
      </c>
      <c r="AA122" s="1166">
        <v>950817</v>
      </c>
      <c r="AB122" s="1166">
        <v>-472526</v>
      </c>
      <c r="AC122" s="1166">
        <v>0</v>
      </c>
      <c r="AD122" s="1166">
        <v>0</v>
      </c>
      <c r="AE122" s="1166">
        <v>0</v>
      </c>
      <c r="AF122" s="1166">
        <v>1178555</v>
      </c>
      <c r="AG122" s="1166">
        <v>0</v>
      </c>
      <c r="AH122" s="1166">
        <v>0</v>
      </c>
      <c r="AI122" s="1166">
        <v>0</v>
      </c>
      <c r="AJ122" s="1166">
        <v>0</v>
      </c>
      <c r="AK122" s="1166">
        <v>1048958</v>
      </c>
      <c r="AL122" s="1166">
        <v>0</v>
      </c>
      <c r="AM122" s="1166">
        <v>0</v>
      </c>
      <c r="AN122" s="1166">
        <v>0</v>
      </c>
      <c r="AO122" s="1166">
        <v>0</v>
      </c>
      <c r="AP122" s="1166">
        <v>0</v>
      </c>
      <c r="AQ122" s="1166">
        <v>0</v>
      </c>
      <c r="AR122" s="1166">
        <v>26029167</v>
      </c>
      <c r="AS122" s="1166">
        <v>0</v>
      </c>
      <c r="AT122" s="1166">
        <v>0</v>
      </c>
      <c r="AU122" s="1166">
        <v>0</v>
      </c>
      <c r="AV122" s="1166">
        <v>3370542</v>
      </c>
      <c r="AW122" s="1166">
        <v>0</v>
      </c>
      <c r="AX122" s="1166">
        <v>0</v>
      </c>
      <c r="AY122" s="1166">
        <v>0</v>
      </c>
      <c r="AZ122" s="1166">
        <v>0</v>
      </c>
      <c r="BA122" s="1166">
        <v>1350829</v>
      </c>
      <c r="BB122" s="1166">
        <v>0</v>
      </c>
      <c r="BC122" s="1166">
        <v>0</v>
      </c>
      <c r="BD122" s="1166">
        <v>0</v>
      </c>
      <c r="BE122" s="1166">
        <v>0</v>
      </c>
      <c r="BF122" s="1166">
        <v>7137581</v>
      </c>
      <c r="BG122" s="1166">
        <v>0</v>
      </c>
      <c r="BH122" s="1166">
        <v>0</v>
      </c>
      <c r="BI122" s="1166">
        <v>0</v>
      </c>
      <c r="BJ122" s="1166">
        <v>0</v>
      </c>
      <c r="BK122" s="1166">
        <v>0</v>
      </c>
      <c r="BL122" s="1166">
        <v>3323193</v>
      </c>
      <c r="BM122" s="1166">
        <v>0</v>
      </c>
      <c r="BN122" s="1166">
        <v>0</v>
      </c>
      <c r="BO122" s="1166">
        <v>0</v>
      </c>
      <c r="BP122" s="1166">
        <v>0</v>
      </c>
      <c r="BQ122" s="1166">
        <v>0</v>
      </c>
      <c r="BR122" s="1166">
        <v>0</v>
      </c>
      <c r="BS122" s="1166">
        <v>0</v>
      </c>
      <c r="BT122" s="1166">
        <v>0</v>
      </c>
      <c r="BU122" s="1166">
        <v>0</v>
      </c>
      <c r="BV122" s="1166">
        <v>0</v>
      </c>
      <c r="BW122" s="1166">
        <v>0</v>
      </c>
      <c r="BX122" s="1166">
        <v>0</v>
      </c>
      <c r="BY122" s="1166">
        <v>0</v>
      </c>
      <c r="BZ122" s="1166">
        <v>0</v>
      </c>
      <c r="CA122" s="1166">
        <v>0</v>
      </c>
      <c r="CB122" s="1166">
        <v>0</v>
      </c>
    </row>
    <row r="123" spans="1:80" s="1156" customFormat="1" x14ac:dyDescent="0.3">
      <c r="A123" s="1161">
        <v>362</v>
      </c>
      <c r="B123" s="1162">
        <v>362</v>
      </c>
      <c r="C123" s="1163" t="s">
        <v>107</v>
      </c>
      <c r="D123" s="1154" t="s">
        <v>440</v>
      </c>
      <c r="E123" s="1164">
        <v>0</v>
      </c>
      <c r="F123" s="1165">
        <v>0</v>
      </c>
      <c r="G123" s="1165">
        <v>0</v>
      </c>
      <c r="H123" s="1165">
        <v>0</v>
      </c>
      <c r="I123" s="1165">
        <v>0</v>
      </c>
      <c r="J123" s="1165">
        <v>0</v>
      </c>
      <c r="K123" s="1165">
        <v>0</v>
      </c>
      <c r="L123" s="1166">
        <v>0</v>
      </c>
      <c r="M123" s="1166">
        <v>0</v>
      </c>
      <c r="N123" s="1166">
        <v>0</v>
      </c>
      <c r="O123" s="1166">
        <v>0</v>
      </c>
      <c r="P123" s="1166">
        <v>0</v>
      </c>
      <c r="Q123" s="1166">
        <v>0</v>
      </c>
      <c r="R123" s="1166">
        <v>0</v>
      </c>
      <c r="S123" s="1166">
        <v>0</v>
      </c>
      <c r="T123" s="1166">
        <v>10680803</v>
      </c>
      <c r="U123" s="1166">
        <v>0</v>
      </c>
      <c r="V123" s="1166">
        <v>59295270</v>
      </c>
      <c r="W123" s="1166">
        <v>0</v>
      </c>
      <c r="X123" s="1166">
        <v>0</v>
      </c>
      <c r="Y123" s="1166">
        <v>0</v>
      </c>
      <c r="Z123" s="1166">
        <v>0</v>
      </c>
      <c r="AA123" s="1166">
        <v>1639683</v>
      </c>
      <c r="AB123" s="1166">
        <v>531257</v>
      </c>
      <c r="AC123" s="1166">
        <v>0</v>
      </c>
      <c r="AD123" s="1166">
        <v>0</v>
      </c>
      <c r="AE123" s="1166">
        <v>0</v>
      </c>
      <c r="AF123" s="1166">
        <v>3485576</v>
      </c>
      <c r="AG123" s="1166">
        <v>0</v>
      </c>
      <c r="AH123" s="1166">
        <v>0</v>
      </c>
      <c r="AI123" s="1166">
        <v>0</v>
      </c>
      <c r="AJ123" s="1166">
        <v>0</v>
      </c>
      <c r="AK123" s="1166">
        <v>10126836</v>
      </c>
      <c r="AL123" s="1166">
        <v>0</v>
      </c>
      <c r="AM123" s="1166">
        <v>0</v>
      </c>
      <c r="AN123" s="1166">
        <v>0</v>
      </c>
      <c r="AO123" s="1166">
        <v>0</v>
      </c>
      <c r="AP123" s="1166">
        <v>0</v>
      </c>
      <c r="AQ123" s="1166">
        <v>0</v>
      </c>
      <c r="AR123" s="1166">
        <v>57576473</v>
      </c>
      <c r="AS123" s="1166">
        <v>0</v>
      </c>
      <c r="AT123" s="1166">
        <v>0</v>
      </c>
      <c r="AU123" s="1166">
        <v>0</v>
      </c>
      <c r="AV123" s="1166">
        <v>6985300</v>
      </c>
      <c r="AW123" s="1166">
        <v>0</v>
      </c>
      <c r="AX123" s="1166">
        <v>0</v>
      </c>
      <c r="AY123" s="1166">
        <v>0</v>
      </c>
      <c r="AZ123" s="1166">
        <v>0</v>
      </c>
      <c r="BA123" s="1166">
        <v>5255654</v>
      </c>
      <c r="BB123" s="1166">
        <v>0</v>
      </c>
      <c r="BC123" s="1166">
        <v>0</v>
      </c>
      <c r="BD123" s="1166">
        <v>0</v>
      </c>
      <c r="BE123" s="1166">
        <v>0</v>
      </c>
      <c r="BF123" s="1166">
        <v>20395826</v>
      </c>
      <c r="BG123" s="1166">
        <v>0</v>
      </c>
      <c r="BH123" s="1166">
        <v>0</v>
      </c>
      <c r="BI123" s="1166">
        <v>0</v>
      </c>
      <c r="BJ123" s="1166">
        <v>0</v>
      </c>
      <c r="BK123" s="1166">
        <v>0</v>
      </c>
      <c r="BL123" s="1166">
        <v>5609473</v>
      </c>
      <c r="BM123" s="1166">
        <v>0</v>
      </c>
      <c r="BN123" s="1166">
        <v>0</v>
      </c>
      <c r="BO123" s="1166">
        <v>0</v>
      </c>
      <c r="BP123" s="1166">
        <v>0</v>
      </c>
      <c r="BQ123" s="1166">
        <v>0</v>
      </c>
      <c r="BR123" s="1166">
        <v>0</v>
      </c>
      <c r="BS123" s="1166">
        <v>0</v>
      </c>
      <c r="BT123" s="1166">
        <v>0</v>
      </c>
      <c r="BU123" s="1166">
        <v>0</v>
      </c>
      <c r="BV123" s="1166">
        <v>0</v>
      </c>
      <c r="BW123" s="1166">
        <v>0</v>
      </c>
      <c r="BX123" s="1166">
        <v>0</v>
      </c>
      <c r="BY123" s="1166">
        <v>0</v>
      </c>
      <c r="BZ123" s="1166">
        <v>0</v>
      </c>
      <c r="CA123" s="1166">
        <v>0</v>
      </c>
      <c r="CB123" s="1166">
        <v>0</v>
      </c>
    </row>
    <row r="124" spans="1:80" s="1156" customFormat="1" x14ac:dyDescent="0.3">
      <c r="A124" s="1161">
        <v>363</v>
      </c>
      <c r="B124" s="1162">
        <v>363</v>
      </c>
      <c r="C124" s="1163" t="s">
        <v>242</v>
      </c>
      <c r="D124" s="1154" t="s">
        <v>441</v>
      </c>
      <c r="E124" s="1164">
        <v>0</v>
      </c>
      <c r="F124" s="1165">
        <v>0</v>
      </c>
      <c r="G124" s="1165">
        <v>0</v>
      </c>
      <c r="H124" s="1165">
        <v>0</v>
      </c>
      <c r="I124" s="1165">
        <v>0</v>
      </c>
      <c r="J124" s="1165">
        <v>0</v>
      </c>
      <c r="K124" s="1165">
        <v>0</v>
      </c>
      <c r="L124" s="1166">
        <v>0</v>
      </c>
      <c r="M124" s="1166">
        <v>0</v>
      </c>
      <c r="N124" s="1166">
        <v>0</v>
      </c>
      <c r="O124" s="1166">
        <v>0</v>
      </c>
      <c r="P124" s="1166">
        <v>0</v>
      </c>
      <c r="Q124" s="1166">
        <v>0</v>
      </c>
      <c r="R124" s="1166">
        <v>0</v>
      </c>
      <c r="S124" s="1166">
        <v>0</v>
      </c>
      <c r="T124" s="1166">
        <v>287406</v>
      </c>
      <c r="U124" s="1166">
        <v>0</v>
      </c>
      <c r="V124" s="1166">
        <v>121711</v>
      </c>
      <c r="W124" s="1166">
        <v>0</v>
      </c>
      <c r="X124" s="1166">
        <v>0</v>
      </c>
      <c r="Y124" s="1166">
        <v>0</v>
      </c>
      <c r="Z124" s="1166">
        <v>0</v>
      </c>
      <c r="AA124" s="1166">
        <v>29253</v>
      </c>
      <c r="AB124" s="1166">
        <v>1143</v>
      </c>
      <c r="AC124" s="1166">
        <v>0</v>
      </c>
      <c r="AD124" s="1166">
        <v>0</v>
      </c>
      <c r="AE124" s="1166">
        <v>0</v>
      </c>
      <c r="AF124" s="1166">
        <v>7011</v>
      </c>
      <c r="AG124" s="1166">
        <v>0</v>
      </c>
      <c r="AH124" s="1166">
        <v>0</v>
      </c>
      <c r="AI124" s="1166">
        <v>0</v>
      </c>
      <c r="AJ124" s="1166">
        <v>0</v>
      </c>
      <c r="AK124" s="1166">
        <v>141059</v>
      </c>
      <c r="AL124" s="1166">
        <v>0</v>
      </c>
      <c r="AM124" s="1166">
        <v>0</v>
      </c>
      <c r="AN124" s="1166">
        <v>0</v>
      </c>
      <c r="AO124" s="1166">
        <v>0</v>
      </c>
      <c r="AP124" s="1166">
        <v>0</v>
      </c>
      <c r="AQ124" s="1166">
        <v>0</v>
      </c>
      <c r="AR124" s="1166">
        <v>7828624</v>
      </c>
      <c r="AS124" s="1166">
        <v>0</v>
      </c>
      <c r="AT124" s="1166">
        <v>0</v>
      </c>
      <c r="AU124" s="1166">
        <v>0</v>
      </c>
      <c r="AV124" s="1166">
        <v>67684</v>
      </c>
      <c r="AW124" s="1166">
        <v>0</v>
      </c>
      <c r="AX124" s="1166">
        <v>0</v>
      </c>
      <c r="AY124" s="1166">
        <v>0</v>
      </c>
      <c r="AZ124" s="1166">
        <v>0</v>
      </c>
      <c r="BA124" s="1166">
        <v>83652</v>
      </c>
      <c r="BB124" s="1166">
        <v>0</v>
      </c>
      <c r="BC124" s="1166">
        <v>0</v>
      </c>
      <c r="BD124" s="1166">
        <v>0</v>
      </c>
      <c r="BE124" s="1166">
        <v>0</v>
      </c>
      <c r="BF124" s="1166">
        <v>98435</v>
      </c>
      <c r="BG124" s="1166">
        <v>0</v>
      </c>
      <c r="BH124" s="1166">
        <v>0</v>
      </c>
      <c r="BI124" s="1166">
        <v>0</v>
      </c>
      <c r="BJ124" s="1166">
        <v>0</v>
      </c>
      <c r="BK124" s="1166">
        <v>0</v>
      </c>
      <c r="BL124" s="1166">
        <v>8698</v>
      </c>
      <c r="BM124" s="1166">
        <v>0</v>
      </c>
      <c r="BN124" s="1166">
        <v>0</v>
      </c>
      <c r="BO124" s="1166">
        <v>0</v>
      </c>
      <c r="BP124" s="1166">
        <v>0</v>
      </c>
      <c r="BQ124" s="1166">
        <v>0</v>
      </c>
      <c r="BR124" s="1166">
        <v>0</v>
      </c>
      <c r="BS124" s="1166">
        <v>0</v>
      </c>
      <c r="BT124" s="1166">
        <v>0</v>
      </c>
      <c r="BU124" s="1166">
        <v>0</v>
      </c>
      <c r="BV124" s="1166">
        <v>0</v>
      </c>
      <c r="BW124" s="1166">
        <v>0</v>
      </c>
      <c r="BX124" s="1166">
        <v>0</v>
      </c>
      <c r="BY124" s="1166">
        <v>0</v>
      </c>
      <c r="BZ124" s="1166">
        <v>0</v>
      </c>
      <c r="CA124" s="1166">
        <v>0</v>
      </c>
      <c r="CB124" s="1166">
        <v>0</v>
      </c>
    </row>
    <row r="125" spans="1:80" s="1156" customFormat="1" x14ac:dyDescent="0.3">
      <c r="A125" s="1161">
        <v>364</v>
      </c>
      <c r="B125" s="1162">
        <v>364</v>
      </c>
      <c r="C125" s="1163" t="s">
        <v>243</v>
      </c>
      <c r="D125" s="1154" t="s">
        <v>442</v>
      </c>
      <c r="E125" s="1164">
        <v>0</v>
      </c>
      <c r="F125" s="1165">
        <v>0</v>
      </c>
      <c r="G125" s="1165">
        <v>0</v>
      </c>
      <c r="H125" s="1165">
        <v>0</v>
      </c>
      <c r="I125" s="1165">
        <v>0</v>
      </c>
      <c r="J125" s="1165">
        <v>0</v>
      </c>
      <c r="K125" s="1165">
        <v>0</v>
      </c>
      <c r="L125" s="1166">
        <v>0</v>
      </c>
      <c r="M125" s="1166">
        <v>0</v>
      </c>
      <c r="N125" s="1166">
        <v>0</v>
      </c>
      <c r="O125" s="1166">
        <v>0</v>
      </c>
      <c r="P125" s="1166">
        <v>0</v>
      </c>
      <c r="Q125" s="1166">
        <v>0</v>
      </c>
      <c r="R125" s="1166">
        <v>0</v>
      </c>
      <c r="S125" s="1166">
        <v>0</v>
      </c>
      <c r="T125" s="1166">
        <v>17035</v>
      </c>
      <c r="U125" s="1166">
        <v>0</v>
      </c>
      <c r="V125" s="1166">
        <v>28013</v>
      </c>
      <c r="W125" s="1166">
        <v>0</v>
      </c>
      <c r="X125" s="1166">
        <v>0</v>
      </c>
      <c r="Y125" s="1166">
        <v>0</v>
      </c>
      <c r="Z125" s="1166">
        <v>0</v>
      </c>
      <c r="AA125" s="1166">
        <v>2978</v>
      </c>
      <c r="AB125" s="1166">
        <v>0</v>
      </c>
      <c r="AC125" s="1166">
        <v>0</v>
      </c>
      <c r="AD125" s="1166">
        <v>0</v>
      </c>
      <c r="AE125" s="1166">
        <v>0</v>
      </c>
      <c r="AF125" s="1166">
        <v>7734</v>
      </c>
      <c r="AG125" s="1166">
        <v>0</v>
      </c>
      <c r="AH125" s="1166">
        <v>0</v>
      </c>
      <c r="AI125" s="1166">
        <v>0</v>
      </c>
      <c r="AJ125" s="1166">
        <v>0</v>
      </c>
      <c r="AK125" s="1166">
        <v>38998</v>
      </c>
      <c r="AL125" s="1166">
        <v>0</v>
      </c>
      <c r="AM125" s="1166">
        <v>0</v>
      </c>
      <c r="AN125" s="1166">
        <v>0</v>
      </c>
      <c r="AO125" s="1166">
        <v>0</v>
      </c>
      <c r="AP125" s="1166">
        <v>0</v>
      </c>
      <c r="AQ125" s="1166">
        <v>0</v>
      </c>
      <c r="AR125" s="1166">
        <v>130628</v>
      </c>
      <c r="AS125" s="1166">
        <v>0</v>
      </c>
      <c r="AT125" s="1166">
        <v>0</v>
      </c>
      <c r="AU125" s="1166">
        <v>0</v>
      </c>
      <c r="AV125" s="1166">
        <v>0</v>
      </c>
      <c r="AW125" s="1166">
        <v>0</v>
      </c>
      <c r="AX125" s="1166">
        <v>0</v>
      </c>
      <c r="AY125" s="1166">
        <v>0</v>
      </c>
      <c r="AZ125" s="1166">
        <v>0</v>
      </c>
      <c r="BA125" s="1166">
        <v>11196</v>
      </c>
      <c r="BB125" s="1166">
        <v>0</v>
      </c>
      <c r="BC125" s="1166">
        <v>0</v>
      </c>
      <c r="BD125" s="1166">
        <v>0</v>
      </c>
      <c r="BE125" s="1166">
        <v>0</v>
      </c>
      <c r="BF125" s="1166">
        <v>6030</v>
      </c>
      <c r="BG125" s="1166">
        <v>0</v>
      </c>
      <c r="BH125" s="1166">
        <v>0</v>
      </c>
      <c r="BI125" s="1166">
        <v>0</v>
      </c>
      <c r="BJ125" s="1166">
        <v>0</v>
      </c>
      <c r="BK125" s="1166">
        <v>0</v>
      </c>
      <c r="BL125" s="1166">
        <v>0</v>
      </c>
      <c r="BM125" s="1166">
        <v>0</v>
      </c>
      <c r="BN125" s="1166">
        <v>0</v>
      </c>
      <c r="BO125" s="1166">
        <v>0</v>
      </c>
      <c r="BP125" s="1166">
        <v>0</v>
      </c>
      <c r="BQ125" s="1166">
        <v>0</v>
      </c>
      <c r="BR125" s="1166">
        <v>0</v>
      </c>
      <c r="BS125" s="1166">
        <v>0</v>
      </c>
      <c r="BT125" s="1166">
        <v>0</v>
      </c>
      <c r="BU125" s="1166">
        <v>0</v>
      </c>
      <c r="BV125" s="1166">
        <v>0</v>
      </c>
      <c r="BW125" s="1166">
        <v>0</v>
      </c>
      <c r="BX125" s="1166">
        <v>0</v>
      </c>
      <c r="BY125" s="1166">
        <v>0</v>
      </c>
      <c r="BZ125" s="1166">
        <v>0</v>
      </c>
      <c r="CA125" s="1166">
        <v>0</v>
      </c>
      <c r="CB125" s="1166">
        <v>0</v>
      </c>
    </row>
    <row r="126" spans="1:80" s="1156" customFormat="1" x14ac:dyDescent="0.3">
      <c r="A126" s="1161">
        <v>365</v>
      </c>
      <c r="B126" s="1162">
        <v>365</v>
      </c>
      <c r="C126" s="1163" t="s">
        <v>245</v>
      </c>
      <c r="D126" s="1154" t="s">
        <v>443</v>
      </c>
      <c r="E126" s="1164">
        <v>0</v>
      </c>
      <c r="F126" s="1165">
        <v>0</v>
      </c>
      <c r="G126" s="1165">
        <v>0</v>
      </c>
      <c r="H126" s="1165">
        <v>0</v>
      </c>
      <c r="I126" s="1165">
        <v>0</v>
      </c>
      <c r="J126" s="1165">
        <v>0</v>
      </c>
      <c r="K126" s="1165">
        <v>0</v>
      </c>
      <c r="L126" s="1166">
        <v>0</v>
      </c>
      <c r="M126" s="1166">
        <v>0</v>
      </c>
      <c r="N126" s="1166">
        <v>0</v>
      </c>
      <c r="O126" s="1166">
        <v>0</v>
      </c>
      <c r="P126" s="1166">
        <v>0</v>
      </c>
      <c r="Q126" s="1166">
        <v>0</v>
      </c>
      <c r="R126" s="1166">
        <v>0</v>
      </c>
      <c r="S126" s="1166">
        <v>0</v>
      </c>
      <c r="T126" s="1166">
        <v>0</v>
      </c>
      <c r="U126" s="1166">
        <v>0</v>
      </c>
      <c r="V126" s="1166">
        <v>8412625</v>
      </c>
      <c r="W126" s="1166">
        <v>0</v>
      </c>
      <c r="X126" s="1166">
        <v>0</v>
      </c>
      <c r="Y126" s="1166">
        <v>0</v>
      </c>
      <c r="Z126" s="1166">
        <v>0</v>
      </c>
      <c r="AA126" s="1166">
        <v>0</v>
      </c>
      <c r="AB126" s="1166">
        <v>0</v>
      </c>
      <c r="AC126" s="1166">
        <v>0</v>
      </c>
      <c r="AD126" s="1166">
        <v>0</v>
      </c>
      <c r="AE126" s="1166">
        <v>0</v>
      </c>
      <c r="AF126" s="1166">
        <v>0</v>
      </c>
      <c r="AG126" s="1166">
        <v>0</v>
      </c>
      <c r="AH126" s="1166">
        <v>0</v>
      </c>
      <c r="AI126" s="1166">
        <v>0</v>
      </c>
      <c r="AJ126" s="1166">
        <v>0</v>
      </c>
      <c r="AK126" s="1166">
        <v>0</v>
      </c>
      <c r="AL126" s="1166">
        <v>0</v>
      </c>
      <c r="AM126" s="1166">
        <v>0</v>
      </c>
      <c r="AN126" s="1166">
        <v>0</v>
      </c>
      <c r="AO126" s="1166">
        <v>0</v>
      </c>
      <c r="AP126" s="1166">
        <v>0</v>
      </c>
      <c r="AQ126" s="1166">
        <v>0</v>
      </c>
      <c r="AR126" s="1166">
        <v>0</v>
      </c>
      <c r="AS126" s="1166">
        <v>0</v>
      </c>
      <c r="AT126" s="1166">
        <v>0</v>
      </c>
      <c r="AU126" s="1166">
        <v>0</v>
      </c>
      <c r="AV126" s="1166">
        <v>0</v>
      </c>
      <c r="AW126" s="1166">
        <v>0</v>
      </c>
      <c r="AX126" s="1166">
        <v>0</v>
      </c>
      <c r="AY126" s="1166">
        <v>0</v>
      </c>
      <c r="AZ126" s="1166">
        <v>0</v>
      </c>
      <c r="BA126" s="1166">
        <v>109142</v>
      </c>
      <c r="BB126" s="1166">
        <v>0</v>
      </c>
      <c r="BC126" s="1166">
        <v>0</v>
      </c>
      <c r="BD126" s="1166">
        <v>0</v>
      </c>
      <c r="BE126" s="1166">
        <v>0</v>
      </c>
      <c r="BF126" s="1166">
        <v>0</v>
      </c>
      <c r="BG126" s="1166">
        <v>0</v>
      </c>
      <c r="BH126" s="1166">
        <v>0</v>
      </c>
      <c r="BI126" s="1166">
        <v>0</v>
      </c>
      <c r="BJ126" s="1166">
        <v>0</v>
      </c>
      <c r="BK126" s="1166">
        <v>0</v>
      </c>
      <c r="BL126" s="1166">
        <v>0</v>
      </c>
      <c r="BM126" s="1166">
        <v>0</v>
      </c>
      <c r="BN126" s="1166">
        <v>0</v>
      </c>
      <c r="BO126" s="1166">
        <v>0</v>
      </c>
      <c r="BP126" s="1166">
        <v>0</v>
      </c>
      <c r="BQ126" s="1166">
        <v>0</v>
      </c>
      <c r="BR126" s="1166">
        <v>0</v>
      </c>
      <c r="BS126" s="1166">
        <v>0</v>
      </c>
      <c r="BT126" s="1166">
        <v>0</v>
      </c>
      <c r="BU126" s="1166">
        <v>0</v>
      </c>
      <c r="BV126" s="1166">
        <v>0</v>
      </c>
      <c r="BW126" s="1166">
        <v>0</v>
      </c>
      <c r="BX126" s="1166">
        <v>0</v>
      </c>
      <c r="BY126" s="1166">
        <v>0</v>
      </c>
      <c r="BZ126" s="1166">
        <v>0</v>
      </c>
      <c r="CA126" s="1166">
        <v>0</v>
      </c>
      <c r="CB126" s="1166">
        <v>0</v>
      </c>
    </row>
    <row r="127" spans="1:80" s="1156" customFormat="1" x14ac:dyDescent="0.3">
      <c r="A127" s="1161">
        <v>366</v>
      </c>
      <c r="B127" s="1162">
        <v>366</v>
      </c>
      <c r="C127" s="1163" t="s">
        <v>536</v>
      </c>
      <c r="D127" s="1154" t="s">
        <v>444</v>
      </c>
      <c r="E127" s="1164">
        <v>0</v>
      </c>
      <c r="F127" s="1165">
        <v>0</v>
      </c>
      <c r="G127" s="1165">
        <v>0</v>
      </c>
      <c r="H127" s="1165">
        <v>0</v>
      </c>
      <c r="I127" s="1165">
        <v>0</v>
      </c>
      <c r="J127" s="1165">
        <v>0</v>
      </c>
      <c r="K127" s="1165">
        <v>0</v>
      </c>
      <c r="L127" s="1166">
        <v>0</v>
      </c>
      <c r="M127" s="1166">
        <v>0</v>
      </c>
      <c r="N127" s="1166">
        <v>0</v>
      </c>
      <c r="O127" s="1166">
        <v>0</v>
      </c>
      <c r="P127" s="1166">
        <v>0</v>
      </c>
      <c r="Q127" s="1166">
        <v>0</v>
      </c>
      <c r="R127" s="1166">
        <v>0</v>
      </c>
      <c r="S127" s="1166">
        <v>0</v>
      </c>
      <c r="T127" s="1166">
        <v>2430000</v>
      </c>
      <c r="U127" s="1166">
        <v>0</v>
      </c>
      <c r="V127" s="1166">
        <v>9592625</v>
      </c>
      <c r="W127" s="1166">
        <v>0</v>
      </c>
      <c r="X127" s="1166">
        <v>0</v>
      </c>
      <c r="Y127" s="1166">
        <v>0</v>
      </c>
      <c r="Z127" s="1166">
        <v>0</v>
      </c>
      <c r="AA127" s="1166">
        <v>0</v>
      </c>
      <c r="AB127" s="1166">
        <v>0</v>
      </c>
      <c r="AC127" s="1166">
        <v>0</v>
      </c>
      <c r="AD127" s="1166">
        <v>0</v>
      </c>
      <c r="AE127" s="1166">
        <v>0</v>
      </c>
      <c r="AF127" s="1166">
        <v>650000</v>
      </c>
      <c r="AG127" s="1166">
        <v>0</v>
      </c>
      <c r="AH127" s="1166">
        <v>0</v>
      </c>
      <c r="AI127" s="1166">
        <v>0</v>
      </c>
      <c r="AJ127" s="1166">
        <v>0</v>
      </c>
      <c r="AK127" s="1166">
        <v>2528403</v>
      </c>
      <c r="AL127" s="1166">
        <v>0</v>
      </c>
      <c r="AM127" s="1166">
        <v>0</v>
      </c>
      <c r="AN127" s="1166">
        <v>0</v>
      </c>
      <c r="AO127" s="1166">
        <v>0</v>
      </c>
      <c r="AP127" s="1166">
        <v>0</v>
      </c>
      <c r="AQ127" s="1166">
        <v>0</v>
      </c>
      <c r="AR127" s="1166">
        <v>1431106</v>
      </c>
      <c r="AS127" s="1166">
        <v>0</v>
      </c>
      <c r="AT127" s="1166">
        <v>0</v>
      </c>
      <c r="AU127" s="1166">
        <v>0</v>
      </c>
      <c r="AV127" s="1166">
        <v>25975</v>
      </c>
      <c r="AW127" s="1166">
        <v>0</v>
      </c>
      <c r="AX127" s="1166">
        <v>0</v>
      </c>
      <c r="AY127" s="1166">
        <v>0</v>
      </c>
      <c r="AZ127" s="1166">
        <v>0</v>
      </c>
      <c r="BA127" s="1166">
        <v>377370</v>
      </c>
      <c r="BB127" s="1166">
        <v>0</v>
      </c>
      <c r="BC127" s="1166">
        <v>0</v>
      </c>
      <c r="BD127" s="1166">
        <v>0</v>
      </c>
      <c r="BE127" s="1166">
        <v>0</v>
      </c>
      <c r="BF127" s="1166">
        <v>762245</v>
      </c>
      <c r="BG127" s="1166">
        <v>0</v>
      </c>
      <c r="BH127" s="1166">
        <v>0</v>
      </c>
      <c r="BI127" s="1166">
        <v>0</v>
      </c>
      <c r="BJ127" s="1166">
        <v>0</v>
      </c>
      <c r="BK127" s="1166">
        <v>0</v>
      </c>
      <c r="BL127" s="1166">
        <v>0</v>
      </c>
      <c r="BM127" s="1166">
        <v>0</v>
      </c>
      <c r="BN127" s="1166">
        <v>0</v>
      </c>
      <c r="BO127" s="1166">
        <v>0</v>
      </c>
      <c r="BP127" s="1166">
        <v>0</v>
      </c>
      <c r="BQ127" s="1166">
        <v>0</v>
      </c>
      <c r="BR127" s="1166">
        <v>0</v>
      </c>
      <c r="BS127" s="1166">
        <v>0</v>
      </c>
      <c r="BT127" s="1166">
        <v>0</v>
      </c>
      <c r="BU127" s="1166">
        <v>0</v>
      </c>
      <c r="BV127" s="1166">
        <v>0</v>
      </c>
      <c r="BW127" s="1166">
        <v>0</v>
      </c>
      <c r="BX127" s="1166">
        <v>0</v>
      </c>
      <c r="BY127" s="1166">
        <v>0</v>
      </c>
      <c r="BZ127" s="1166">
        <v>0</v>
      </c>
      <c r="CA127" s="1166">
        <v>0</v>
      </c>
      <c r="CB127" s="1166">
        <v>0</v>
      </c>
    </row>
    <row r="128" spans="1:80" s="1156" customFormat="1" x14ac:dyDescent="0.3">
      <c r="A128" s="1154"/>
      <c r="B128" s="1162">
        <v>367</v>
      </c>
      <c r="C128" s="1163" t="s">
        <v>642</v>
      </c>
      <c r="D128" s="1154" t="s">
        <v>445</v>
      </c>
      <c r="E128" s="1164"/>
      <c r="F128" s="1165"/>
      <c r="G128" s="1165"/>
      <c r="H128" s="1165"/>
      <c r="I128" s="1165"/>
      <c r="J128" s="1165"/>
      <c r="K128" s="1165"/>
      <c r="L128" s="1166"/>
      <c r="M128" s="1166"/>
      <c r="N128" s="1166"/>
      <c r="O128" s="1166"/>
      <c r="P128" s="1166"/>
      <c r="Q128" s="1166"/>
      <c r="R128" s="1166"/>
      <c r="S128" s="1166"/>
      <c r="T128" s="1166"/>
      <c r="U128" s="1166"/>
      <c r="V128" s="1166"/>
      <c r="W128" s="1166"/>
      <c r="X128" s="1166"/>
      <c r="Y128" s="1166"/>
      <c r="Z128" s="1166"/>
      <c r="AA128" s="1166"/>
      <c r="AB128" s="1166"/>
      <c r="AC128" s="1166"/>
      <c r="AD128" s="1166"/>
      <c r="AE128" s="1166"/>
      <c r="AF128" s="1166"/>
      <c r="AG128" s="1166"/>
      <c r="AH128" s="1166"/>
      <c r="AI128" s="1166"/>
      <c r="AJ128" s="1166"/>
      <c r="AK128" s="1166"/>
      <c r="AL128" s="1166"/>
      <c r="AM128" s="1166"/>
      <c r="AN128" s="1166"/>
      <c r="AO128" s="1166"/>
      <c r="AP128" s="1166"/>
      <c r="AQ128" s="1166"/>
      <c r="AR128" s="1166"/>
      <c r="AS128" s="1166"/>
      <c r="AT128" s="1166"/>
      <c r="AU128" s="1166"/>
      <c r="AV128" s="1166"/>
      <c r="AW128" s="1166"/>
      <c r="AX128" s="1166"/>
      <c r="AY128" s="1166"/>
      <c r="AZ128" s="1166"/>
      <c r="BA128" s="1166"/>
      <c r="BB128" s="1166"/>
      <c r="BC128" s="1166"/>
      <c r="BD128" s="1166"/>
      <c r="BE128" s="1166"/>
      <c r="BF128" s="1166"/>
      <c r="BG128" s="1166"/>
      <c r="BH128" s="1166"/>
      <c r="BI128" s="1166"/>
      <c r="BJ128" s="1166"/>
      <c r="BK128" s="1166"/>
      <c r="BL128" s="1166"/>
      <c r="BM128" s="1166"/>
      <c r="BN128" s="1166"/>
      <c r="BO128" s="1166"/>
      <c r="BP128" s="1166"/>
      <c r="BQ128" s="1166"/>
      <c r="BR128" s="1166"/>
      <c r="BS128" s="1166"/>
      <c r="BT128" s="1166"/>
      <c r="BU128" s="1166"/>
      <c r="BV128" s="1166"/>
      <c r="BW128" s="1166"/>
      <c r="BX128" s="1166"/>
      <c r="BY128" s="1166"/>
      <c r="BZ128" s="1166"/>
      <c r="CA128" s="1166"/>
      <c r="CB128" s="1166"/>
    </row>
    <row r="129" spans="1:80" s="1156" customFormat="1" x14ac:dyDescent="0.3">
      <c r="A129" s="1161">
        <v>368</v>
      </c>
      <c r="B129" s="1162">
        <v>368</v>
      </c>
      <c r="C129" s="1163" t="s">
        <v>200</v>
      </c>
      <c r="D129" s="1154" t="s">
        <v>446</v>
      </c>
      <c r="E129" s="1164">
        <v>0</v>
      </c>
      <c r="F129" s="1165">
        <v>937</v>
      </c>
      <c r="G129" s="1165">
        <v>0</v>
      </c>
      <c r="H129" s="1165">
        <v>0</v>
      </c>
      <c r="I129" s="1165">
        <v>0</v>
      </c>
      <c r="J129" s="1165">
        <v>0</v>
      </c>
      <c r="K129" s="1165">
        <v>0</v>
      </c>
      <c r="L129" s="1166">
        <v>0</v>
      </c>
      <c r="M129" s="1166">
        <v>0</v>
      </c>
      <c r="N129" s="1166">
        <v>0</v>
      </c>
      <c r="O129" s="1166">
        <v>0</v>
      </c>
      <c r="P129" s="1166">
        <v>0</v>
      </c>
      <c r="Q129" s="1166">
        <v>458487</v>
      </c>
      <c r="R129" s="1166">
        <v>0</v>
      </c>
      <c r="S129" s="1166">
        <v>0</v>
      </c>
      <c r="T129" s="1166">
        <v>0</v>
      </c>
      <c r="U129" s="1166">
        <v>0</v>
      </c>
      <c r="V129" s="1166">
        <v>0</v>
      </c>
      <c r="W129" s="1166">
        <v>0</v>
      </c>
      <c r="X129" s="1166">
        <v>0</v>
      </c>
      <c r="Y129" s="1166">
        <v>0</v>
      </c>
      <c r="Z129" s="1166">
        <v>0</v>
      </c>
      <c r="AA129" s="1166">
        <v>0</v>
      </c>
      <c r="AB129" s="1166">
        <v>0</v>
      </c>
      <c r="AC129" s="1166">
        <v>0</v>
      </c>
      <c r="AD129" s="1166">
        <v>0</v>
      </c>
      <c r="AE129" s="1166">
        <v>0</v>
      </c>
      <c r="AF129" s="1166">
        <v>0</v>
      </c>
      <c r="AG129" s="1166">
        <v>0</v>
      </c>
      <c r="AH129" s="1166">
        <v>0</v>
      </c>
      <c r="AI129" s="1166">
        <v>0</v>
      </c>
      <c r="AJ129" s="1166">
        <v>0</v>
      </c>
      <c r="AK129" s="1166">
        <v>0</v>
      </c>
      <c r="AL129" s="1166">
        <v>0</v>
      </c>
      <c r="AM129" s="1166">
        <v>0</v>
      </c>
      <c r="AN129" s="1166">
        <v>0</v>
      </c>
      <c r="AO129" s="1166">
        <v>0</v>
      </c>
      <c r="AP129" s="1166">
        <v>0</v>
      </c>
      <c r="AQ129" s="1166">
        <v>200346</v>
      </c>
      <c r="AR129" s="1166">
        <v>103290</v>
      </c>
      <c r="AS129" s="1166">
        <v>0</v>
      </c>
      <c r="AT129" s="1166">
        <v>0</v>
      </c>
      <c r="AU129" s="1166">
        <v>0</v>
      </c>
      <c r="AV129" s="1166">
        <v>0</v>
      </c>
      <c r="AW129" s="1166">
        <v>0</v>
      </c>
      <c r="AX129" s="1166">
        <v>0</v>
      </c>
      <c r="AY129" s="1166">
        <v>0</v>
      </c>
      <c r="AZ129" s="1166">
        <v>0</v>
      </c>
      <c r="BA129" s="1166">
        <v>0</v>
      </c>
      <c r="BB129" s="1166">
        <v>0</v>
      </c>
      <c r="BC129" s="1166">
        <v>0</v>
      </c>
      <c r="BD129" s="1166">
        <v>0</v>
      </c>
      <c r="BE129" s="1166">
        <v>0</v>
      </c>
      <c r="BF129" s="1166">
        <v>0</v>
      </c>
      <c r="BG129" s="1166">
        <v>0</v>
      </c>
      <c r="BH129" s="1166">
        <v>0</v>
      </c>
      <c r="BI129" s="1166">
        <v>0</v>
      </c>
      <c r="BJ129" s="1166">
        <v>22090</v>
      </c>
      <c r="BK129" s="1166">
        <v>0</v>
      </c>
      <c r="BL129" s="1166">
        <v>155</v>
      </c>
      <c r="BM129" s="1166">
        <v>0</v>
      </c>
      <c r="BN129" s="1166">
        <v>0</v>
      </c>
      <c r="BO129" s="1166">
        <v>7637</v>
      </c>
      <c r="BP129" s="1166">
        <v>0</v>
      </c>
      <c r="BQ129" s="1166">
        <v>0</v>
      </c>
      <c r="BR129" s="1166">
        <v>0</v>
      </c>
      <c r="BS129" s="1166">
        <v>33020</v>
      </c>
      <c r="BT129" s="1166">
        <v>0</v>
      </c>
      <c r="BU129" s="1166">
        <v>0</v>
      </c>
      <c r="BV129" s="1166">
        <v>0</v>
      </c>
      <c r="BW129" s="1166">
        <v>0</v>
      </c>
      <c r="BX129" s="1166">
        <v>0</v>
      </c>
      <c r="BY129" s="1166">
        <v>0</v>
      </c>
      <c r="BZ129" s="1166">
        <v>0</v>
      </c>
      <c r="CA129" s="1166">
        <v>863078</v>
      </c>
      <c r="CB129" s="1166">
        <v>0</v>
      </c>
    </row>
    <row r="130" spans="1:80" s="1156" customFormat="1" x14ac:dyDescent="0.3">
      <c r="A130" s="1161">
        <v>369</v>
      </c>
      <c r="B130" s="1162">
        <v>369</v>
      </c>
      <c r="C130" s="1163" t="s">
        <v>205</v>
      </c>
      <c r="D130" s="1154" t="s">
        <v>447</v>
      </c>
      <c r="E130" s="1164">
        <v>845518</v>
      </c>
      <c r="F130" s="1165">
        <v>5317869</v>
      </c>
      <c r="G130" s="1165">
        <v>0</v>
      </c>
      <c r="H130" s="1165">
        <v>6370393</v>
      </c>
      <c r="I130" s="1165">
        <v>1266645</v>
      </c>
      <c r="J130" s="1165">
        <v>106849</v>
      </c>
      <c r="K130" s="1165">
        <v>739077</v>
      </c>
      <c r="L130" s="1166">
        <v>780342</v>
      </c>
      <c r="M130" s="1166">
        <v>5838642</v>
      </c>
      <c r="N130" s="1166">
        <v>72187</v>
      </c>
      <c r="O130" s="1166">
        <v>396471</v>
      </c>
      <c r="P130" s="1166">
        <v>642958</v>
      </c>
      <c r="Q130" s="1166">
        <v>9551617</v>
      </c>
      <c r="R130" s="1166">
        <v>1611167</v>
      </c>
      <c r="S130" s="1166">
        <v>3621488</v>
      </c>
      <c r="T130" s="1166">
        <v>778046</v>
      </c>
      <c r="U130" s="1166">
        <v>0</v>
      </c>
      <c r="V130" s="1166">
        <v>1206107</v>
      </c>
      <c r="W130" s="1166">
        <v>19075</v>
      </c>
      <c r="X130" s="1166">
        <v>2310490</v>
      </c>
      <c r="Y130" s="1166">
        <v>5154903</v>
      </c>
      <c r="Z130" s="1166">
        <v>1714000</v>
      </c>
      <c r="AA130" s="1166">
        <v>260874</v>
      </c>
      <c r="AB130" s="1166">
        <v>2150681</v>
      </c>
      <c r="AC130" s="1166">
        <v>368963</v>
      </c>
      <c r="AD130" s="1166">
        <v>8417</v>
      </c>
      <c r="AE130" s="1166">
        <v>522258</v>
      </c>
      <c r="AF130" s="1166">
        <v>1275544</v>
      </c>
      <c r="AG130" s="1166">
        <v>65744</v>
      </c>
      <c r="AH130" s="1166">
        <v>38011</v>
      </c>
      <c r="AI130" s="1166">
        <v>11454</v>
      </c>
      <c r="AJ130" s="1166">
        <v>1060782</v>
      </c>
      <c r="AK130" s="1166">
        <v>1987094</v>
      </c>
      <c r="AL130" s="1166">
        <v>170466</v>
      </c>
      <c r="AM130" s="1166">
        <v>18260</v>
      </c>
      <c r="AN130" s="1166">
        <v>7730481</v>
      </c>
      <c r="AO130" s="1166">
        <v>3582543</v>
      </c>
      <c r="AP130" s="1166">
        <v>162307</v>
      </c>
      <c r="AQ130" s="1166">
        <v>2260323</v>
      </c>
      <c r="AR130" s="1166">
        <v>8359143</v>
      </c>
      <c r="AS130" s="1166">
        <v>1233219</v>
      </c>
      <c r="AT130" s="1166">
        <v>213656</v>
      </c>
      <c r="AU130" s="1166">
        <v>2023647</v>
      </c>
      <c r="AV130" s="1166">
        <v>6006530</v>
      </c>
      <c r="AW130" s="1166">
        <v>43624</v>
      </c>
      <c r="AX130" s="1166">
        <v>192856</v>
      </c>
      <c r="AY130" s="1166">
        <v>1469658</v>
      </c>
      <c r="AZ130" s="1166">
        <v>832386</v>
      </c>
      <c r="BA130" s="1166">
        <v>1504765</v>
      </c>
      <c r="BB130" s="1166">
        <v>48868</v>
      </c>
      <c r="BC130" s="1166">
        <v>857101</v>
      </c>
      <c r="BD130" s="1166">
        <v>0</v>
      </c>
      <c r="BE130" s="1166">
        <v>42866</v>
      </c>
      <c r="BF130" s="1166">
        <v>3210244</v>
      </c>
      <c r="BG130" s="1166">
        <v>0</v>
      </c>
      <c r="BH130" s="1166">
        <v>49771</v>
      </c>
      <c r="BI130" s="1166">
        <v>1399197</v>
      </c>
      <c r="BJ130" s="1166">
        <v>138984</v>
      </c>
      <c r="BK130" s="1166">
        <v>340131</v>
      </c>
      <c r="BL130" s="1166">
        <v>1970496</v>
      </c>
      <c r="BM130" s="1166">
        <v>2005501</v>
      </c>
      <c r="BN130" s="1166">
        <v>49869</v>
      </c>
      <c r="BO130" s="1166">
        <v>1516479</v>
      </c>
      <c r="BP130" s="1166">
        <v>818748</v>
      </c>
      <c r="BQ130" s="1166">
        <v>551419</v>
      </c>
      <c r="BR130" s="1166">
        <v>612233</v>
      </c>
      <c r="BS130" s="1166">
        <v>673590</v>
      </c>
      <c r="BT130" s="1166">
        <v>1363487</v>
      </c>
      <c r="BU130" s="1166">
        <v>914547</v>
      </c>
      <c r="BV130" s="1166">
        <v>444054</v>
      </c>
      <c r="BW130" s="1166">
        <v>224595</v>
      </c>
      <c r="BX130" s="1166">
        <v>468182</v>
      </c>
      <c r="BY130" s="1166">
        <v>36662</v>
      </c>
      <c r="BZ130" s="1166">
        <v>35011</v>
      </c>
      <c r="CA130" s="1166">
        <v>6695775</v>
      </c>
      <c r="CB130" s="1166">
        <v>27563</v>
      </c>
    </row>
    <row r="131" spans="1:80" s="1156" customFormat="1" x14ac:dyDescent="0.3">
      <c r="A131" s="1161">
        <v>370</v>
      </c>
      <c r="B131" s="1162">
        <v>370</v>
      </c>
      <c r="C131" s="1163" t="s">
        <v>207</v>
      </c>
      <c r="D131" s="1154" t="s">
        <v>448</v>
      </c>
      <c r="E131" s="1164">
        <v>32935</v>
      </c>
      <c r="F131" s="1165">
        <v>1692671</v>
      </c>
      <c r="G131" s="1165">
        <v>0</v>
      </c>
      <c r="H131" s="1165">
        <v>3601961</v>
      </c>
      <c r="I131" s="1165">
        <v>170211</v>
      </c>
      <c r="J131" s="1165">
        <v>0</v>
      </c>
      <c r="K131" s="1165">
        <v>0</v>
      </c>
      <c r="L131" s="1166">
        <v>84808</v>
      </c>
      <c r="M131" s="1166">
        <v>29453147</v>
      </c>
      <c r="N131" s="1166">
        <v>0</v>
      </c>
      <c r="O131" s="1166">
        <v>10970</v>
      </c>
      <c r="P131" s="1166">
        <v>67078</v>
      </c>
      <c r="Q131" s="1166">
        <v>4288791</v>
      </c>
      <c r="R131" s="1166">
        <v>3300289</v>
      </c>
      <c r="S131" s="1166">
        <v>487455</v>
      </c>
      <c r="T131" s="1166">
        <v>679492</v>
      </c>
      <c r="U131" s="1166">
        <v>0</v>
      </c>
      <c r="V131" s="1166">
        <v>1233587</v>
      </c>
      <c r="W131" s="1166">
        <v>0</v>
      </c>
      <c r="X131" s="1166">
        <v>2094791</v>
      </c>
      <c r="Y131" s="1166">
        <v>1518523</v>
      </c>
      <c r="Z131" s="1166">
        <v>840830</v>
      </c>
      <c r="AA131" s="1166">
        <v>60941</v>
      </c>
      <c r="AB131" s="1166">
        <v>1011469</v>
      </c>
      <c r="AC131" s="1166">
        <v>0</v>
      </c>
      <c r="AD131" s="1166">
        <v>0</v>
      </c>
      <c r="AE131" s="1166">
        <v>39556</v>
      </c>
      <c r="AF131" s="1166">
        <v>497888</v>
      </c>
      <c r="AG131" s="1166">
        <v>5655</v>
      </c>
      <c r="AH131" s="1166">
        <v>0</v>
      </c>
      <c r="AI131" s="1166">
        <v>0</v>
      </c>
      <c r="AJ131" s="1166">
        <v>0</v>
      </c>
      <c r="AK131" s="1166">
        <v>592616</v>
      </c>
      <c r="AL131" s="1166">
        <v>0</v>
      </c>
      <c r="AM131" s="1166">
        <v>0</v>
      </c>
      <c r="AN131" s="1166">
        <v>1674302</v>
      </c>
      <c r="AO131" s="1166">
        <v>484601</v>
      </c>
      <c r="AP131" s="1166">
        <v>0</v>
      </c>
      <c r="AQ131" s="1166">
        <v>202379</v>
      </c>
      <c r="AR131" s="1166">
        <v>1043100</v>
      </c>
      <c r="AS131" s="1166">
        <v>47611</v>
      </c>
      <c r="AT131" s="1166">
        <v>95440</v>
      </c>
      <c r="AU131" s="1166">
        <v>313258</v>
      </c>
      <c r="AV131" s="1166">
        <v>463516</v>
      </c>
      <c r="AW131" s="1166">
        <v>0</v>
      </c>
      <c r="AX131" s="1166">
        <v>2578</v>
      </c>
      <c r="AY131" s="1166">
        <v>223692</v>
      </c>
      <c r="AZ131" s="1166">
        <v>88346</v>
      </c>
      <c r="BA131" s="1166">
        <v>167605</v>
      </c>
      <c r="BB131" s="1166">
        <v>0</v>
      </c>
      <c r="BC131" s="1166">
        <v>60429</v>
      </c>
      <c r="BD131" s="1166">
        <v>0</v>
      </c>
      <c r="BE131" s="1166">
        <v>0</v>
      </c>
      <c r="BF131" s="1166">
        <v>1539320</v>
      </c>
      <c r="BG131" s="1166">
        <v>0</v>
      </c>
      <c r="BH131" s="1166">
        <v>0</v>
      </c>
      <c r="BI131" s="1166">
        <v>23467</v>
      </c>
      <c r="BJ131" s="1166">
        <v>61184</v>
      </c>
      <c r="BK131" s="1166">
        <v>25293</v>
      </c>
      <c r="BL131" s="1166">
        <v>271196</v>
      </c>
      <c r="BM131" s="1166">
        <v>0</v>
      </c>
      <c r="BN131" s="1166">
        <v>0</v>
      </c>
      <c r="BO131" s="1166">
        <v>220529</v>
      </c>
      <c r="BP131" s="1166">
        <v>0</v>
      </c>
      <c r="BQ131" s="1166">
        <v>12288</v>
      </c>
      <c r="BR131" s="1166">
        <v>0</v>
      </c>
      <c r="BS131" s="1166">
        <v>0</v>
      </c>
      <c r="BT131" s="1166">
        <v>1090674</v>
      </c>
      <c r="BU131" s="1166">
        <v>59295</v>
      </c>
      <c r="BV131" s="1166">
        <v>76999</v>
      </c>
      <c r="BW131" s="1166">
        <v>82104</v>
      </c>
      <c r="BX131" s="1166">
        <v>0</v>
      </c>
      <c r="BY131" s="1166">
        <v>0</v>
      </c>
      <c r="BZ131" s="1166">
        <v>0</v>
      </c>
      <c r="CA131" s="1166">
        <v>1536937</v>
      </c>
      <c r="CB131" s="1166">
        <v>4956</v>
      </c>
    </row>
    <row r="132" spans="1:80" s="1156" customFormat="1" x14ac:dyDescent="0.3">
      <c r="A132" s="1161">
        <v>371</v>
      </c>
      <c r="B132" s="1162">
        <v>371</v>
      </c>
      <c r="C132" s="1163" t="s">
        <v>262</v>
      </c>
      <c r="D132" s="1154" t="s">
        <v>449</v>
      </c>
      <c r="E132" s="1164">
        <v>0</v>
      </c>
      <c r="F132" s="1165">
        <v>2062959</v>
      </c>
      <c r="G132" s="1165">
        <v>0</v>
      </c>
      <c r="H132" s="1165">
        <v>0</v>
      </c>
      <c r="I132" s="1165">
        <v>0</v>
      </c>
      <c r="J132" s="1165">
        <v>0</v>
      </c>
      <c r="K132" s="1165">
        <v>0</v>
      </c>
      <c r="L132" s="1166">
        <v>0</v>
      </c>
      <c r="M132" s="1166">
        <v>0</v>
      </c>
      <c r="N132" s="1166">
        <v>0</v>
      </c>
      <c r="O132" s="1166">
        <v>0</v>
      </c>
      <c r="P132" s="1166">
        <v>0</v>
      </c>
      <c r="Q132" s="1166">
        <v>0</v>
      </c>
      <c r="R132" s="1166">
        <v>0</v>
      </c>
      <c r="S132" s="1166">
        <v>0</v>
      </c>
      <c r="T132" s="1166">
        <v>0</v>
      </c>
      <c r="U132" s="1166">
        <v>0</v>
      </c>
      <c r="V132" s="1166">
        <v>0</v>
      </c>
      <c r="W132" s="1166">
        <v>0</v>
      </c>
      <c r="X132" s="1166">
        <v>0</v>
      </c>
      <c r="Y132" s="1166">
        <v>0</v>
      </c>
      <c r="Z132" s="1166">
        <v>0</v>
      </c>
      <c r="AA132" s="1166">
        <v>0</v>
      </c>
      <c r="AB132" s="1166">
        <v>0</v>
      </c>
      <c r="AC132" s="1166">
        <v>0</v>
      </c>
      <c r="AD132" s="1166">
        <v>0</v>
      </c>
      <c r="AE132" s="1166">
        <v>0</v>
      </c>
      <c r="AF132" s="1166">
        <v>0</v>
      </c>
      <c r="AG132" s="1166">
        <v>0</v>
      </c>
      <c r="AH132" s="1166">
        <v>0</v>
      </c>
      <c r="AI132" s="1166">
        <v>0</v>
      </c>
      <c r="AJ132" s="1166">
        <v>0</v>
      </c>
      <c r="AK132" s="1166">
        <v>0</v>
      </c>
      <c r="AL132" s="1166">
        <v>0</v>
      </c>
      <c r="AM132" s="1166">
        <v>0</v>
      </c>
      <c r="AN132" s="1166">
        <v>0</v>
      </c>
      <c r="AO132" s="1166">
        <v>0</v>
      </c>
      <c r="AP132" s="1166">
        <v>0</v>
      </c>
      <c r="AQ132" s="1166">
        <v>0</v>
      </c>
      <c r="AR132" s="1166">
        <v>0</v>
      </c>
      <c r="AS132" s="1166">
        <v>0</v>
      </c>
      <c r="AT132" s="1166">
        <v>0</v>
      </c>
      <c r="AU132" s="1166">
        <v>0</v>
      </c>
      <c r="AV132" s="1166">
        <v>0</v>
      </c>
      <c r="AW132" s="1166">
        <v>0</v>
      </c>
      <c r="AX132" s="1166">
        <v>0</v>
      </c>
      <c r="AY132" s="1166">
        <v>0</v>
      </c>
      <c r="AZ132" s="1166">
        <v>0</v>
      </c>
      <c r="BA132" s="1166">
        <v>0</v>
      </c>
      <c r="BB132" s="1166">
        <v>0</v>
      </c>
      <c r="BC132" s="1166">
        <v>0</v>
      </c>
      <c r="BD132" s="1166">
        <v>0</v>
      </c>
      <c r="BE132" s="1166">
        <v>0</v>
      </c>
      <c r="BF132" s="1166">
        <v>0</v>
      </c>
      <c r="BG132" s="1166">
        <v>0</v>
      </c>
      <c r="BH132" s="1166">
        <v>0</v>
      </c>
      <c r="BI132" s="1166">
        <v>0</v>
      </c>
      <c r="BJ132" s="1166">
        <v>0</v>
      </c>
      <c r="BK132" s="1166">
        <v>0</v>
      </c>
      <c r="BL132" s="1166">
        <v>0</v>
      </c>
      <c r="BM132" s="1166">
        <v>0</v>
      </c>
      <c r="BN132" s="1166">
        <v>0</v>
      </c>
      <c r="BO132" s="1166">
        <v>0</v>
      </c>
      <c r="BP132" s="1166">
        <v>0</v>
      </c>
      <c r="BQ132" s="1166">
        <v>0</v>
      </c>
      <c r="BR132" s="1166">
        <v>0</v>
      </c>
      <c r="BS132" s="1166">
        <v>0</v>
      </c>
      <c r="BT132" s="1166">
        <v>0</v>
      </c>
      <c r="BU132" s="1166">
        <v>0</v>
      </c>
      <c r="BV132" s="1166">
        <v>0</v>
      </c>
      <c r="BW132" s="1166">
        <v>0</v>
      </c>
      <c r="BX132" s="1166">
        <v>0</v>
      </c>
      <c r="BY132" s="1166">
        <v>0</v>
      </c>
      <c r="BZ132" s="1166">
        <v>0</v>
      </c>
      <c r="CA132" s="1166">
        <v>0</v>
      </c>
      <c r="CB132" s="1166">
        <v>0</v>
      </c>
    </row>
    <row r="133" spans="1:80" s="1156" customFormat="1" x14ac:dyDescent="0.3">
      <c r="A133" s="1161">
        <v>373</v>
      </c>
      <c r="B133" s="1162">
        <v>373</v>
      </c>
      <c r="C133" s="1163" t="s">
        <v>549</v>
      </c>
      <c r="D133" s="1154" t="s">
        <v>450</v>
      </c>
      <c r="E133" s="1164">
        <v>1824070</v>
      </c>
      <c r="F133" s="1165">
        <v>15714685</v>
      </c>
      <c r="G133" s="1165">
        <v>0</v>
      </c>
      <c r="H133" s="1165">
        <v>99232688</v>
      </c>
      <c r="I133" s="1165">
        <v>6247783</v>
      </c>
      <c r="J133" s="1165">
        <v>110731</v>
      </c>
      <c r="K133" s="1165">
        <v>976131</v>
      </c>
      <c r="L133" s="1166">
        <v>1603396</v>
      </c>
      <c r="M133" s="1166">
        <v>101593206</v>
      </c>
      <c r="N133" s="1166">
        <v>90355</v>
      </c>
      <c r="O133" s="1166">
        <v>1017547</v>
      </c>
      <c r="P133" s="1166">
        <v>2725920</v>
      </c>
      <c r="Q133" s="1166">
        <v>78878625</v>
      </c>
      <c r="R133" s="1166">
        <v>22319310</v>
      </c>
      <c r="S133" s="1166">
        <v>5543476</v>
      </c>
      <c r="T133" s="1166">
        <v>21738879</v>
      </c>
      <c r="U133" s="1166">
        <v>0</v>
      </c>
      <c r="V133" s="1166">
        <v>27087171</v>
      </c>
      <c r="W133" s="1166">
        <v>9065</v>
      </c>
      <c r="X133" s="1166">
        <v>17795201</v>
      </c>
      <c r="Y133" s="1166">
        <v>27026356</v>
      </c>
      <c r="Z133" s="1166">
        <v>5303372</v>
      </c>
      <c r="AA133" s="1166">
        <v>15486703</v>
      </c>
      <c r="AB133" s="1166">
        <v>5712509</v>
      </c>
      <c r="AC133" s="1166">
        <v>544495</v>
      </c>
      <c r="AD133" s="1166">
        <v>637281</v>
      </c>
      <c r="AE133" s="1166">
        <v>2176984</v>
      </c>
      <c r="AF133" s="1166">
        <v>2896346</v>
      </c>
      <c r="AG133" s="1166">
        <v>164497</v>
      </c>
      <c r="AH133" s="1166">
        <v>80289</v>
      </c>
      <c r="AI133" s="1166">
        <v>807053</v>
      </c>
      <c r="AJ133" s="1166">
        <v>1219866</v>
      </c>
      <c r="AK133" s="1166">
        <v>7264001</v>
      </c>
      <c r="AL133" s="1166">
        <v>997605</v>
      </c>
      <c r="AM133" s="1166">
        <v>17792</v>
      </c>
      <c r="AN133" s="1166">
        <v>29560713</v>
      </c>
      <c r="AO133" s="1166">
        <v>58023692</v>
      </c>
      <c r="AP133" s="1166">
        <v>288188</v>
      </c>
      <c r="AQ133" s="1166">
        <v>4344971</v>
      </c>
      <c r="AR133" s="1166">
        <v>68040549</v>
      </c>
      <c r="AS133" s="1166">
        <v>2793352</v>
      </c>
      <c r="AT133" s="1166">
        <v>1741223</v>
      </c>
      <c r="AU133" s="1166">
        <v>3971639</v>
      </c>
      <c r="AV133" s="1166">
        <v>24640193</v>
      </c>
      <c r="AW133" s="1166">
        <v>90389</v>
      </c>
      <c r="AX133" s="1166">
        <v>305812</v>
      </c>
      <c r="AY133" s="1166">
        <v>5952442</v>
      </c>
      <c r="AZ133" s="1166">
        <v>5728569</v>
      </c>
      <c r="BA133" s="1166">
        <v>6454820</v>
      </c>
      <c r="BB133" s="1166">
        <v>4475</v>
      </c>
      <c r="BC133" s="1166">
        <v>3773069</v>
      </c>
      <c r="BD133" s="1166">
        <v>0</v>
      </c>
      <c r="BE133" s="1166">
        <v>87916</v>
      </c>
      <c r="BF133" s="1166">
        <v>25810710</v>
      </c>
      <c r="BG133" s="1166">
        <v>0</v>
      </c>
      <c r="BH133" s="1166">
        <v>98178</v>
      </c>
      <c r="BI133" s="1166">
        <v>4498730</v>
      </c>
      <c r="BJ133" s="1166">
        <v>3740345</v>
      </c>
      <c r="BK133" s="1166">
        <v>759380</v>
      </c>
      <c r="BL133" s="1166">
        <v>9713890</v>
      </c>
      <c r="BM133" s="1166">
        <v>4181121</v>
      </c>
      <c r="BN133" s="1166">
        <v>113773</v>
      </c>
      <c r="BO133" s="1166">
        <v>10048026</v>
      </c>
      <c r="BP133" s="1166">
        <v>5921092</v>
      </c>
      <c r="BQ133" s="1166">
        <v>744819</v>
      </c>
      <c r="BR133" s="1166">
        <v>1952720</v>
      </c>
      <c r="BS133" s="1166">
        <v>363062</v>
      </c>
      <c r="BT133" s="1166">
        <v>119622405</v>
      </c>
      <c r="BU133" s="1166">
        <v>2819623</v>
      </c>
      <c r="BV133" s="1166">
        <v>3956837</v>
      </c>
      <c r="BW133" s="1166">
        <v>754399</v>
      </c>
      <c r="BX133" s="1166">
        <v>876572</v>
      </c>
      <c r="BY133" s="1166">
        <v>35477</v>
      </c>
      <c r="BZ133" s="1166">
        <v>62604</v>
      </c>
      <c r="CA133" s="1166">
        <v>15999429</v>
      </c>
      <c r="CB133" s="1166">
        <v>72671</v>
      </c>
    </row>
    <row r="134" spans="1:80" s="1156" customFormat="1" x14ac:dyDescent="0.3">
      <c r="A134" s="1161">
        <v>375</v>
      </c>
      <c r="B134" s="1162">
        <v>375</v>
      </c>
      <c r="C134" s="1163" t="s">
        <v>222</v>
      </c>
      <c r="D134" s="1154" t="s">
        <v>451</v>
      </c>
      <c r="E134" s="1164">
        <v>0</v>
      </c>
      <c r="F134" s="1165">
        <v>0</v>
      </c>
      <c r="G134" s="1165">
        <v>0</v>
      </c>
      <c r="H134" s="1165">
        <v>39851060</v>
      </c>
      <c r="I134" s="1165">
        <v>11002728</v>
      </c>
      <c r="J134" s="1165">
        <v>-32572</v>
      </c>
      <c r="K134" s="1165">
        <v>6026262</v>
      </c>
      <c r="L134" s="1166">
        <v>334597</v>
      </c>
      <c r="M134" s="1166">
        <v>-4185617</v>
      </c>
      <c r="N134" s="1166">
        <v>0</v>
      </c>
      <c r="O134" s="1166">
        <v>1095270</v>
      </c>
      <c r="P134" s="1166">
        <v>948958</v>
      </c>
      <c r="Q134" s="1166">
        <v>0</v>
      </c>
      <c r="R134" s="1166">
        <v>7339325</v>
      </c>
      <c r="S134" s="1166">
        <v>7419377</v>
      </c>
      <c r="T134" s="1166">
        <v>6193786</v>
      </c>
      <c r="U134" s="1166">
        <v>0</v>
      </c>
      <c r="V134" s="1166">
        <v>8509346</v>
      </c>
      <c r="W134" s="1166">
        <v>0</v>
      </c>
      <c r="X134" s="1166">
        <v>0</v>
      </c>
      <c r="Y134" s="1166">
        <v>38317</v>
      </c>
      <c r="Z134" s="1166">
        <v>2330194</v>
      </c>
      <c r="AA134" s="1166">
        <v>1210454</v>
      </c>
      <c r="AB134" s="1166">
        <v>223997</v>
      </c>
      <c r="AC134" s="1166">
        <v>0</v>
      </c>
      <c r="AD134" s="1166">
        <v>44346</v>
      </c>
      <c r="AE134" s="1166">
        <v>1582305</v>
      </c>
      <c r="AF134" s="1166">
        <v>2878459</v>
      </c>
      <c r="AG134" s="1166">
        <v>64097</v>
      </c>
      <c r="AH134" s="1166">
        <v>0</v>
      </c>
      <c r="AI134" s="1166">
        <v>0</v>
      </c>
      <c r="AJ134" s="1166">
        <v>863085</v>
      </c>
      <c r="AK134" s="1166">
        <v>5661614</v>
      </c>
      <c r="AL134" s="1166">
        <v>334981</v>
      </c>
      <c r="AM134" s="1166">
        <v>0</v>
      </c>
      <c r="AN134" s="1166">
        <v>33840331</v>
      </c>
      <c r="AO134" s="1166">
        <v>10647335</v>
      </c>
      <c r="AP134" s="1166">
        <v>110377</v>
      </c>
      <c r="AQ134" s="1166">
        <v>0</v>
      </c>
      <c r="AR134" s="1166">
        <v>8614596</v>
      </c>
      <c r="AS134" s="1166">
        <v>1312179</v>
      </c>
      <c r="AT134" s="1166">
        <v>132997</v>
      </c>
      <c r="AU134" s="1166">
        <v>1446708</v>
      </c>
      <c r="AV134" s="1166">
        <v>5819195</v>
      </c>
      <c r="AW134" s="1166">
        <v>1160933</v>
      </c>
      <c r="AX134" s="1166">
        <v>712057</v>
      </c>
      <c r="AY134" s="1166">
        <v>1265825</v>
      </c>
      <c r="AZ134" s="1166">
        <v>971497</v>
      </c>
      <c r="BA134" s="1166">
        <v>1222388</v>
      </c>
      <c r="BB134" s="1166">
        <v>-14536</v>
      </c>
      <c r="BC134" s="1166">
        <v>482518</v>
      </c>
      <c r="BD134" s="1166">
        <v>0</v>
      </c>
      <c r="BE134" s="1166">
        <v>0</v>
      </c>
      <c r="BF134" s="1166">
        <v>72167</v>
      </c>
      <c r="BG134" s="1166">
        <v>0</v>
      </c>
      <c r="BH134" s="1166">
        <v>0</v>
      </c>
      <c r="BI134" s="1166">
        <v>2175811</v>
      </c>
      <c r="BJ134" s="1166">
        <v>1934549</v>
      </c>
      <c r="BK134" s="1166">
        <v>-62841</v>
      </c>
      <c r="BL134" s="1166">
        <v>12787813</v>
      </c>
      <c r="BM134" s="1166">
        <v>2220946</v>
      </c>
      <c r="BN134" s="1166">
        <v>0</v>
      </c>
      <c r="BO134" s="1166">
        <v>2189563</v>
      </c>
      <c r="BP134" s="1166">
        <v>3910590</v>
      </c>
      <c r="BQ134" s="1166">
        <v>1007395</v>
      </c>
      <c r="BR134" s="1166">
        <v>1220077</v>
      </c>
      <c r="BS134" s="1166">
        <v>0</v>
      </c>
      <c r="BT134" s="1166">
        <v>0</v>
      </c>
      <c r="BU134" s="1166">
        <v>1192745</v>
      </c>
      <c r="BV134" s="1166">
        <v>-518361</v>
      </c>
      <c r="BW134" s="1166">
        <v>199918</v>
      </c>
      <c r="BX134" s="1166">
        <v>909649</v>
      </c>
      <c r="BY134" s="1166">
        <v>0</v>
      </c>
      <c r="BZ134" s="1166">
        <v>0</v>
      </c>
      <c r="CA134" s="1166">
        <v>6837732</v>
      </c>
      <c r="CB134" s="1166">
        <v>0</v>
      </c>
    </row>
    <row r="135" spans="1:80" s="1156" customFormat="1" x14ac:dyDescent="0.3">
      <c r="A135" s="1161">
        <v>376</v>
      </c>
      <c r="B135" s="1162">
        <v>376</v>
      </c>
      <c r="C135" s="1163" t="s">
        <v>108</v>
      </c>
      <c r="D135" s="1154" t="s">
        <v>452</v>
      </c>
      <c r="E135" s="1164">
        <v>0</v>
      </c>
      <c r="F135" s="1165">
        <v>0</v>
      </c>
      <c r="G135" s="1165">
        <v>0</v>
      </c>
      <c r="H135" s="1165">
        <v>0</v>
      </c>
      <c r="I135" s="1165">
        <v>0</v>
      </c>
      <c r="J135" s="1165">
        <v>0</v>
      </c>
      <c r="K135" s="1165">
        <v>0</v>
      </c>
      <c r="L135" s="1166">
        <v>0</v>
      </c>
      <c r="M135" s="1166">
        <v>0</v>
      </c>
      <c r="N135" s="1166">
        <v>0</v>
      </c>
      <c r="O135" s="1166">
        <v>0</v>
      </c>
      <c r="P135" s="1166">
        <v>0</v>
      </c>
      <c r="Q135" s="1166">
        <v>0</v>
      </c>
      <c r="R135" s="1166">
        <v>-809542</v>
      </c>
      <c r="S135" s="1166">
        <v>0</v>
      </c>
      <c r="T135" s="1166">
        <v>0</v>
      </c>
      <c r="U135" s="1166">
        <v>0</v>
      </c>
      <c r="V135" s="1166">
        <v>89604</v>
      </c>
      <c r="W135" s="1166">
        <v>0</v>
      </c>
      <c r="X135" s="1166">
        <v>0</v>
      </c>
      <c r="Y135" s="1166">
        <v>0</v>
      </c>
      <c r="Z135" s="1166">
        <v>0</v>
      </c>
      <c r="AA135" s="1166">
        <v>0</v>
      </c>
      <c r="AB135" s="1166">
        <v>587777</v>
      </c>
      <c r="AC135" s="1166">
        <v>0</v>
      </c>
      <c r="AD135" s="1166">
        <v>0</v>
      </c>
      <c r="AE135" s="1166">
        <v>0</v>
      </c>
      <c r="AF135" s="1166">
        <v>-88793</v>
      </c>
      <c r="AG135" s="1166">
        <v>0</v>
      </c>
      <c r="AH135" s="1166">
        <v>-1</v>
      </c>
      <c r="AI135" s="1166">
        <v>0</v>
      </c>
      <c r="AJ135" s="1166">
        <v>0</v>
      </c>
      <c r="AK135" s="1166">
        <v>0</v>
      </c>
      <c r="AL135" s="1166">
        <v>0</v>
      </c>
      <c r="AM135" s="1166">
        <v>0</v>
      </c>
      <c r="AN135" s="1166">
        <v>0</v>
      </c>
      <c r="AO135" s="1166">
        <v>0</v>
      </c>
      <c r="AP135" s="1166">
        <v>0</v>
      </c>
      <c r="AQ135" s="1166">
        <v>0</v>
      </c>
      <c r="AR135" s="1166">
        <v>0</v>
      </c>
      <c r="AS135" s="1166">
        <v>0</v>
      </c>
      <c r="AT135" s="1166">
        <v>0</v>
      </c>
      <c r="AU135" s="1166">
        <v>0</v>
      </c>
      <c r="AV135" s="1166">
        <v>0</v>
      </c>
      <c r="AW135" s="1166">
        <v>4553</v>
      </c>
      <c r="AX135" s="1166">
        <v>74221</v>
      </c>
      <c r="AY135" s="1166">
        <v>0</v>
      </c>
      <c r="AZ135" s="1166">
        <v>1</v>
      </c>
      <c r="BA135" s="1166">
        <v>0</v>
      </c>
      <c r="BB135" s="1166">
        <v>1</v>
      </c>
      <c r="BC135" s="1166">
        <v>0</v>
      </c>
      <c r="BD135" s="1166">
        <v>0</v>
      </c>
      <c r="BE135" s="1166">
        <v>0</v>
      </c>
      <c r="BF135" s="1166">
        <v>0</v>
      </c>
      <c r="BG135" s="1166">
        <v>0</v>
      </c>
      <c r="BH135" s="1166">
        <v>0</v>
      </c>
      <c r="BI135" s="1166">
        <v>0</v>
      </c>
      <c r="BJ135" s="1166">
        <v>0</v>
      </c>
      <c r="BK135" s="1166">
        <v>875445</v>
      </c>
      <c r="BL135" s="1166">
        <v>0</v>
      </c>
      <c r="BM135" s="1166">
        <v>0</v>
      </c>
      <c r="BN135" s="1166">
        <v>0</v>
      </c>
      <c r="BO135" s="1166">
        <v>0</v>
      </c>
      <c r="BP135" s="1166">
        <v>0</v>
      </c>
      <c r="BQ135" s="1166">
        <v>0</v>
      </c>
      <c r="BR135" s="1166">
        <v>-1</v>
      </c>
      <c r="BS135" s="1166">
        <v>0</v>
      </c>
      <c r="BT135" s="1166">
        <v>0</v>
      </c>
      <c r="BU135" s="1166">
        <v>0</v>
      </c>
      <c r="BV135" s="1166">
        <v>0</v>
      </c>
      <c r="BW135" s="1166">
        <v>-450000</v>
      </c>
      <c r="BX135" s="1166">
        <v>0</v>
      </c>
      <c r="BY135" s="1166">
        <v>0</v>
      </c>
      <c r="BZ135" s="1166">
        <v>0</v>
      </c>
      <c r="CA135" s="1166">
        <v>0</v>
      </c>
      <c r="CB135" s="1166">
        <v>1</v>
      </c>
    </row>
    <row r="136" spans="1:80" s="1156" customFormat="1" x14ac:dyDescent="0.3">
      <c r="A136" s="1161">
        <v>377</v>
      </c>
      <c r="B136" s="1162">
        <v>377</v>
      </c>
      <c r="C136" s="1163" t="s">
        <v>109</v>
      </c>
      <c r="D136" s="1154" t="s">
        <v>453</v>
      </c>
      <c r="E136" s="1164">
        <v>0</v>
      </c>
      <c r="F136" s="1165">
        <v>0</v>
      </c>
      <c r="G136" s="1165">
        <v>0</v>
      </c>
      <c r="H136" s="1165">
        <v>0</v>
      </c>
      <c r="I136" s="1165">
        <v>0</v>
      </c>
      <c r="J136" s="1165">
        <v>0</v>
      </c>
      <c r="K136" s="1165">
        <v>0</v>
      </c>
      <c r="L136" s="1166">
        <v>0</v>
      </c>
      <c r="M136" s="1166">
        <v>0</v>
      </c>
      <c r="N136" s="1166">
        <v>0</v>
      </c>
      <c r="O136" s="1166">
        <v>0</v>
      </c>
      <c r="P136" s="1166">
        <v>0</v>
      </c>
      <c r="Q136" s="1166">
        <v>0</v>
      </c>
      <c r="R136" s="1166">
        <v>-124666</v>
      </c>
      <c r="S136" s="1166">
        <v>0</v>
      </c>
      <c r="T136" s="1166">
        <v>0</v>
      </c>
      <c r="U136" s="1166">
        <v>0</v>
      </c>
      <c r="V136" s="1166">
        <v>90495</v>
      </c>
      <c r="W136" s="1166">
        <v>0</v>
      </c>
      <c r="X136" s="1166">
        <v>0</v>
      </c>
      <c r="Y136" s="1166">
        <v>0</v>
      </c>
      <c r="Z136" s="1166">
        <v>0</v>
      </c>
      <c r="AA136" s="1166">
        <v>0</v>
      </c>
      <c r="AB136" s="1166">
        <v>0</v>
      </c>
      <c r="AC136" s="1166">
        <v>0</v>
      </c>
      <c r="AD136" s="1166">
        <v>0</v>
      </c>
      <c r="AE136" s="1166">
        <v>0</v>
      </c>
      <c r="AF136" s="1166">
        <v>0</v>
      </c>
      <c r="AG136" s="1166">
        <v>0</v>
      </c>
      <c r="AH136" s="1166">
        <v>0</v>
      </c>
      <c r="AI136" s="1166">
        <v>0</v>
      </c>
      <c r="AJ136" s="1166">
        <v>0</v>
      </c>
      <c r="AK136" s="1166">
        <v>0</v>
      </c>
      <c r="AL136" s="1166">
        <v>0</v>
      </c>
      <c r="AM136" s="1166">
        <v>0</v>
      </c>
      <c r="AN136" s="1166">
        <v>0</v>
      </c>
      <c r="AO136" s="1166">
        <v>0</v>
      </c>
      <c r="AP136" s="1166">
        <v>0</v>
      </c>
      <c r="AQ136" s="1166">
        <v>0</v>
      </c>
      <c r="AR136" s="1166">
        <v>0</v>
      </c>
      <c r="AS136" s="1166">
        <v>0</v>
      </c>
      <c r="AT136" s="1166">
        <v>0</v>
      </c>
      <c r="AU136" s="1166">
        <v>318686</v>
      </c>
      <c r="AV136" s="1166">
        <v>0</v>
      </c>
      <c r="AW136" s="1166">
        <v>0</v>
      </c>
      <c r="AX136" s="1166">
        <v>0</v>
      </c>
      <c r="AY136" s="1166">
        <v>-1</v>
      </c>
      <c r="AZ136" s="1166">
        <v>0</v>
      </c>
      <c r="BA136" s="1166">
        <v>0</v>
      </c>
      <c r="BB136" s="1166">
        <v>0</v>
      </c>
      <c r="BC136" s="1166">
        <v>0</v>
      </c>
      <c r="BD136" s="1166">
        <v>0</v>
      </c>
      <c r="BE136" s="1166">
        <v>0</v>
      </c>
      <c r="BF136" s="1166">
        <v>479307</v>
      </c>
      <c r="BG136" s="1166">
        <v>0</v>
      </c>
      <c r="BH136" s="1166">
        <v>0</v>
      </c>
      <c r="BI136" s="1166">
        <v>0</v>
      </c>
      <c r="BJ136" s="1166">
        <v>0</v>
      </c>
      <c r="BK136" s="1166">
        <v>6050599</v>
      </c>
      <c r="BL136" s="1166">
        <v>0</v>
      </c>
      <c r="BM136" s="1166">
        <v>0</v>
      </c>
      <c r="BN136" s="1166">
        <v>0</v>
      </c>
      <c r="BO136" s="1166">
        <v>0</v>
      </c>
      <c r="BP136" s="1166">
        <v>0</v>
      </c>
      <c r="BQ136" s="1166">
        <v>0</v>
      </c>
      <c r="BR136" s="1166">
        <v>2</v>
      </c>
      <c r="BS136" s="1166">
        <v>0</v>
      </c>
      <c r="BT136" s="1166">
        <v>0</v>
      </c>
      <c r="BU136" s="1166">
        <v>0</v>
      </c>
      <c r="BV136" s="1166">
        <v>1</v>
      </c>
      <c r="BW136" s="1166">
        <v>-1</v>
      </c>
      <c r="BX136" s="1166">
        <v>0</v>
      </c>
      <c r="BY136" s="1166">
        <v>0</v>
      </c>
      <c r="BZ136" s="1166">
        <v>0</v>
      </c>
      <c r="CA136" s="1166">
        <v>0</v>
      </c>
      <c r="CB136" s="1166">
        <v>0</v>
      </c>
    </row>
    <row r="137" spans="1:80" s="1156" customFormat="1" x14ac:dyDescent="0.3">
      <c r="A137" s="1161">
        <v>378</v>
      </c>
      <c r="B137" s="1162">
        <v>378</v>
      </c>
      <c r="C137" s="1163" t="s">
        <v>110</v>
      </c>
      <c r="D137" s="1154" t="s">
        <v>454</v>
      </c>
      <c r="E137" s="1164">
        <v>0</v>
      </c>
      <c r="F137" s="1165">
        <v>0</v>
      </c>
      <c r="G137" s="1165">
        <v>0</v>
      </c>
      <c r="H137" s="1165">
        <v>0</v>
      </c>
      <c r="I137" s="1165">
        <v>0</v>
      </c>
      <c r="J137" s="1165">
        <v>0</v>
      </c>
      <c r="K137" s="1165">
        <v>0</v>
      </c>
      <c r="L137" s="1166">
        <v>0</v>
      </c>
      <c r="M137" s="1166">
        <v>0</v>
      </c>
      <c r="N137" s="1166">
        <v>0</v>
      </c>
      <c r="O137" s="1166">
        <v>0</v>
      </c>
      <c r="P137" s="1166">
        <v>0</v>
      </c>
      <c r="Q137" s="1166">
        <v>0</v>
      </c>
      <c r="R137" s="1166">
        <v>0</v>
      </c>
      <c r="S137" s="1166">
        <v>0</v>
      </c>
      <c r="T137" s="1166">
        <v>0</v>
      </c>
      <c r="U137" s="1166">
        <v>0</v>
      </c>
      <c r="V137" s="1166">
        <v>42288</v>
      </c>
      <c r="W137" s="1166">
        <v>0</v>
      </c>
      <c r="X137" s="1166">
        <v>0</v>
      </c>
      <c r="Y137" s="1166">
        <v>0</v>
      </c>
      <c r="Z137" s="1166">
        <v>0</v>
      </c>
      <c r="AA137" s="1166">
        <v>0</v>
      </c>
      <c r="AB137" s="1166">
        <v>-587777</v>
      </c>
      <c r="AC137" s="1166">
        <v>0</v>
      </c>
      <c r="AD137" s="1166">
        <v>0</v>
      </c>
      <c r="AE137" s="1166">
        <v>0</v>
      </c>
      <c r="AF137" s="1166">
        <v>0</v>
      </c>
      <c r="AG137" s="1166">
        <v>0</v>
      </c>
      <c r="AH137" s="1166">
        <v>0</v>
      </c>
      <c r="AI137" s="1166">
        <v>0</v>
      </c>
      <c r="AJ137" s="1166">
        <v>0</v>
      </c>
      <c r="AK137" s="1166">
        <v>-1</v>
      </c>
      <c r="AL137" s="1166">
        <v>0</v>
      </c>
      <c r="AM137" s="1166">
        <v>0</v>
      </c>
      <c r="AN137" s="1166">
        <v>0</v>
      </c>
      <c r="AO137" s="1166">
        <v>0</v>
      </c>
      <c r="AP137" s="1166">
        <v>0</v>
      </c>
      <c r="AQ137" s="1166">
        <v>0</v>
      </c>
      <c r="AR137" s="1166">
        <v>0</v>
      </c>
      <c r="AS137" s="1166">
        <v>0</v>
      </c>
      <c r="AT137" s="1166">
        <v>0</v>
      </c>
      <c r="AU137" s="1166">
        <v>0</v>
      </c>
      <c r="AV137" s="1166">
        <v>0</v>
      </c>
      <c r="AW137" s="1166">
        <v>0</v>
      </c>
      <c r="AX137" s="1166">
        <v>0</v>
      </c>
      <c r="AY137" s="1166">
        <v>0</v>
      </c>
      <c r="AZ137" s="1166">
        <v>0</v>
      </c>
      <c r="BA137" s="1166">
        <v>0</v>
      </c>
      <c r="BB137" s="1166">
        <v>0</v>
      </c>
      <c r="BC137" s="1166">
        <v>0</v>
      </c>
      <c r="BD137" s="1166">
        <v>0</v>
      </c>
      <c r="BE137" s="1166">
        <v>0</v>
      </c>
      <c r="BF137" s="1166">
        <v>2226188</v>
      </c>
      <c r="BG137" s="1166">
        <v>0</v>
      </c>
      <c r="BH137" s="1166">
        <v>0</v>
      </c>
      <c r="BI137" s="1166">
        <v>0</v>
      </c>
      <c r="BJ137" s="1166">
        <v>0</v>
      </c>
      <c r="BK137" s="1166">
        <v>0</v>
      </c>
      <c r="BL137" s="1166">
        <v>0</v>
      </c>
      <c r="BM137" s="1166">
        <v>0</v>
      </c>
      <c r="BN137" s="1166">
        <v>0</v>
      </c>
      <c r="BO137" s="1166">
        <v>0</v>
      </c>
      <c r="BP137" s="1166">
        <v>0</v>
      </c>
      <c r="BQ137" s="1166">
        <v>0</v>
      </c>
      <c r="BR137" s="1166">
        <v>0</v>
      </c>
      <c r="BS137" s="1166">
        <v>0</v>
      </c>
      <c r="BT137" s="1166">
        <v>0</v>
      </c>
      <c r="BU137" s="1166">
        <v>0</v>
      </c>
      <c r="BV137" s="1166">
        <v>0</v>
      </c>
      <c r="BW137" s="1166">
        <v>0</v>
      </c>
      <c r="BX137" s="1166">
        <v>0</v>
      </c>
      <c r="BY137" s="1166">
        <v>0</v>
      </c>
      <c r="BZ137" s="1166">
        <v>0</v>
      </c>
      <c r="CA137" s="1166">
        <v>0</v>
      </c>
      <c r="CB137" s="1166">
        <v>0</v>
      </c>
    </row>
    <row r="138" spans="1:80" s="1156" customFormat="1" x14ac:dyDescent="0.3">
      <c r="A138" s="1161">
        <v>379</v>
      </c>
      <c r="B138" s="1162">
        <v>379</v>
      </c>
      <c r="C138" s="1163" t="s">
        <v>118</v>
      </c>
      <c r="D138" s="1154" t="s">
        <v>455</v>
      </c>
      <c r="E138" s="1164">
        <v>682067</v>
      </c>
      <c r="F138" s="1165">
        <v>24298903</v>
      </c>
      <c r="G138" s="1165">
        <v>0</v>
      </c>
      <c r="H138" s="1165">
        <v>40841834</v>
      </c>
      <c r="I138" s="1165">
        <v>5185558</v>
      </c>
      <c r="J138" s="1165">
        <v>625024</v>
      </c>
      <c r="K138" s="1165">
        <v>2686967</v>
      </c>
      <c r="L138" s="1166">
        <v>1583523</v>
      </c>
      <c r="M138" s="1166">
        <v>24763194</v>
      </c>
      <c r="N138" s="1166">
        <v>264869</v>
      </c>
      <c r="O138" s="1166">
        <v>887976</v>
      </c>
      <c r="P138" s="1166">
        <v>735899</v>
      </c>
      <c r="Q138" s="1166">
        <v>17444867</v>
      </c>
      <c r="R138" s="1166">
        <v>20445363</v>
      </c>
      <c r="S138" s="1166">
        <v>3336228</v>
      </c>
      <c r="T138" s="1166">
        <v>10038805</v>
      </c>
      <c r="U138" s="1166">
        <v>0</v>
      </c>
      <c r="V138" s="1166">
        <v>8827664</v>
      </c>
      <c r="W138" s="1166">
        <v>271144</v>
      </c>
      <c r="X138" s="1166">
        <v>13371881</v>
      </c>
      <c r="Y138" s="1166">
        <v>8872083</v>
      </c>
      <c r="Z138" s="1166">
        <v>5344797</v>
      </c>
      <c r="AA138" s="1166">
        <v>2333423</v>
      </c>
      <c r="AB138" s="1166">
        <v>4784946</v>
      </c>
      <c r="AC138" s="1166">
        <v>1489211</v>
      </c>
      <c r="AD138" s="1166">
        <v>298646</v>
      </c>
      <c r="AE138" s="1166">
        <v>1556411</v>
      </c>
      <c r="AF138" s="1166">
        <v>2148325</v>
      </c>
      <c r="AG138" s="1166">
        <v>106237</v>
      </c>
      <c r="AH138" s="1166">
        <v>79187</v>
      </c>
      <c r="AI138" s="1166">
        <v>302124</v>
      </c>
      <c r="AJ138" s="1166">
        <v>2295033</v>
      </c>
      <c r="AK138" s="1166">
        <v>3290691</v>
      </c>
      <c r="AL138" s="1166">
        <v>361704</v>
      </c>
      <c r="AM138" s="1166">
        <v>120015</v>
      </c>
      <c r="AN138" s="1166">
        <v>14549082</v>
      </c>
      <c r="AO138" s="1166">
        <v>12884589</v>
      </c>
      <c r="AP138" s="1166">
        <v>689482</v>
      </c>
      <c r="AQ138" s="1166">
        <v>8269931</v>
      </c>
      <c r="AR138" s="1166">
        <v>14299284</v>
      </c>
      <c r="AS138" s="1166">
        <v>3138188</v>
      </c>
      <c r="AT138" s="1166">
        <v>511688</v>
      </c>
      <c r="AU138" s="1166">
        <v>3322876</v>
      </c>
      <c r="AV138" s="1166">
        <v>8054637</v>
      </c>
      <c r="AW138" s="1166">
        <v>206186</v>
      </c>
      <c r="AX138" s="1166">
        <v>611977</v>
      </c>
      <c r="AY138" s="1166">
        <v>3766230</v>
      </c>
      <c r="AZ138" s="1166">
        <v>3184144</v>
      </c>
      <c r="BA138" s="1166">
        <v>2674623</v>
      </c>
      <c r="BB138" s="1166">
        <v>126170</v>
      </c>
      <c r="BC138" s="1166">
        <v>1947516</v>
      </c>
      <c r="BD138" s="1166">
        <v>0</v>
      </c>
      <c r="BE138" s="1166">
        <v>404100</v>
      </c>
      <c r="BF138" s="1166">
        <v>7507234</v>
      </c>
      <c r="BG138" s="1166">
        <v>0</v>
      </c>
      <c r="BH138" s="1166">
        <v>185339</v>
      </c>
      <c r="BI138" s="1166">
        <v>3037385</v>
      </c>
      <c r="BJ138" s="1166">
        <v>3862533</v>
      </c>
      <c r="BK138" s="1166">
        <v>702701</v>
      </c>
      <c r="BL138" s="1166">
        <v>3465457</v>
      </c>
      <c r="BM138" s="1166">
        <v>6236100</v>
      </c>
      <c r="BN138" s="1166">
        <v>141989</v>
      </c>
      <c r="BO138" s="1166">
        <v>4783507</v>
      </c>
      <c r="BP138" s="1166">
        <v>3875164</v>
      </c>
      <c r="BQ138" s="1166">
        <v>1725155</v>
      </c>
      <c r="BR138" s="1166">
        <v>3090698</v>
      </c>
      <c r="BS138" s="1166">
        <v>2163436</v>
      </c>
      <c r="BT138" s="1166">
        <v>13822058</v>
      </c>
      <c r="BU138" s="1166">
        <v>3018789</v>
      </c>
      <c r="BV138" s="1166">
        <v>2086608</v>
      </c>
      <c r="BW138" s="1166">
        <v>1125269</v>
      </c>
      <c r="BX138" s="1166">
        <v>1331772</v>
      </c>
      <c r="BY138" s="1166">
        <v>187048</v>
      </c>
      <c r="BZ138" s="1166">
        <v>217423</v>
      </c>
      <c r="CA138" s="1166">
        <v>16790502</v>
      </c>
      <c r="CB138" s="1166">
        <v>114946</v>
      </c>
    </row>
    <row r="139" spans="1:80" s="1156" customFormat="1" x14ac:dyDescent="0.3">
      <c r="A139" s="1161">
        <v>380</v>
      </c>
      <c r="B139" s="1162">
        <v>380</v>
      </c>
      <c r="C139" s="1163" t="s">
        <v>121</v>
      </c>
      <c r="D139" s="1154" t="s">
        <v>456</v>
      </c>
      <c r="E139" s="1164">
        <v>7356</v>
      </c>
      <c r="F139" s="1165">
        <v>92544</v>
      </c>
      <c r="G139" s="1165">
        <v>0</v>
      </c>
      <c r="H139" s="1165">
        <v>261697</v>
      </c>
      <c r="I139" s="1165">
        <v>15207</v>
      </c>
      <c r="J139" s="1165">
        <v>28599</v>
      </c>
      <c r="K139" s="1165">
        <v>81707</v>
      </c>
      <c r="L139" s="1166">
        <v>48146</v>
      </c>
      <c r="M139" s="1166">
        <v>813503</v>
      </c>
      <c r="N139" s="1166">
        <v>3339</v>
      </c>
      <c r="O139" s="1166">
        <v>51330</v>
      </c>
      <c r="P139" s="1166">
        <v>18262</v>
      </c>
      <c r="Q139" s="1166">
        <v>184175</v>
      </c>
      <c r="R139" s="1166">
        <v>114064</v>
      </c>
      <c r="S139" s="1166">
        <v>82362</v>
      </c>
      <c r="T139" s="1166">
        <v>69566</v>
      </c>
      <c r="U139" s="1166">
        <v>0</v>
      </c>
      <c r="V139" s="1166">
        <v>595451</v>
      </c>
      <c r="W139" s="1166">
        <v>1263</v>
      </c>
      <c r="X139" s="1166">
        <v>63975</v>
      </c>
      <c r="Y139" s="1166">
        <v>159299</v>
      </c>
      <c r="Z139" s="1166">
        <v>32012</v>
      </c>
      <c r="AA139" s="1166">
        <v>78551</v>
      </c>
      <c r="AB139" s="1166">
        <v>132633</v>
      </c>
      <c r="AC139" s="1166">
        <v>358</v>
      </c>
      <c r="AD139" s="1166">
        <v>0</v>
      </c>
      <c r="AE139" s="1166">
        <v>5169</v>
      </c>
      <c r="AF139" s="1166">
        <v>111492</v>
      </c>
      <c r="AG139" s="1166">
        <v>4649</v>
      </c>
      <c r="AH139" s="1166">
        <v>2129</v>
      </c>
      <c r="AI139" s="1166">
        <v>818</v>
      </c>
      <c r="AJ139" s="1166">
        <v>10763</v>
      </c>
      <c r="AK139" s="1166">
        <v>574659</v>
      </c>
      <c r="AL139" s="1166">
        <v>4286</v>
      </c>
      <c r="AM139" s="1166">
        <v>1436</v>
      </c>
      <c r="AN139" s="1166">
        <v>67396</v>
      </c>
      <c r="AO139" s="1166">
        <v>336832</v>
      </c>
      <c r="AP139" s="1166">
        <v>10074</v>
      </c>
      <c r="AQ139" s="1166">
        <v>29448</v>
      </c>
      <c r="AR139" s="1166">
        <v>456238</v>
      </c>
      <c r="AS139" s="1166">
        <v>30375</v>
      </c>
      <c r="AT139" s="1166">
        <v>17675</v>
      </c>
      <c r="AU139" s="1166">
        <v>11949</v>
      </c>
      <c r="AV139" s="1166">
        <v>102222</v>
      </c>
      <c r="AW139" s="1166">
        <v>756</v>
      </c>
      <c r="AX139" s="1166">
        <v>41108</v>
      </c>
      <c r="AY139" s="1166">
        <v>48002</v>
      </c>
      <c r="AZ139" s="1166">
        <v>64497</v>
      </c>
      <c r="BA139" s="1166">
        <v>41806</v>
      </c>
      <c r="BB139" s="1166">
        <v>5974</v>
      </c>
      <c r="BC139" s="1166">
        <v>36333</v>
      </c>
      <c r="BD139" s="1166">
        <v>0</v>
      </c>
      <c r="BE139" s="1166">
        <v>4328</v>
      </c>
      <c r="BF139" s="1166">
        <v>578807</v>
      </c>
      <c r="BG139" s="1166">
        <v>0</v>
      </c>
      <c r="BH139" s="1166">
        <v>1622</v>
      </c>
      <c r="BI139" s="1166">
        <v>47490</v>
      </c>
      <c r="BJ139" s="1166">
        <v>58391</v>
      </c>
      <c r="BK139" s="1166">
        <v>0</v>
      </c>
      <c r="BL139" s="1166">
        <v>16442</v>
      </c>
      <c r="BM139" s="1166">
        <v>44469</v>
      </c>
      <c r="BN139" s="1166">
        <v>0</v>
      </c>
      <c r="BO139" s="1166">
        <v>78877</v>
      </c>
      <c r="BP139" s="1166">
        <v>37727</v>
      </c>
      <c r="BQ139" s="1166">
        <v>25299</v>
      </c>
      <c r="BR139" s="1166">
        <v>50285</v>
      </c>
      <c r="BS139" s="1166">
        <v>3464</v>
      </c>
      <c r="BT139" s="1166">
        <v>376628</v>
      </c>
      <c r="BU139" s="1166">
        <v>500196</v>
      </c>
      <c r="BV139" s="1166">
        <v>30651</v>
      </c>
      <c r="BW139" s="1166">
        <v>525325</v>
      </c>
      <c r="BX139" s="1166">
        <v>5047</v>
      </c>
      <c r="BY139" s="1166">
        <v>420</v>
      </c>
      <c r="BZ139" s="1166">
        <v>674</v>
      </c>
      <c r="CA139" s="1166">
        <v>110641</v>
      </c>
      <c r="CB139" s="1166">
        <v>12064</v>
      </c>
    </row>
    <row r="140" spans="1:80" s="1156" customFormat="1" x14ac:dyDescent="0.3">
      <c r="A140" s="1161">
        <v>381</v>
      </c>
      <c r="B140" s="1162">
        <v>381</v>
      </c>
      <c r="C140" s="1163" t="s">
        <v>113</v>
      </c>
      <c r="D140" s="1154" t="s">
        <v>457</v>
      </c>
      <c r="E140" s="1164">
        <v>0</v>
      </c>
      <c r="F140" s="1165">
        <v>0</v>
      </c>
      <c r="G140" s="1165">
        <v>0</v>
      </c>
      <c r="H140" s="1165">
        <v>134353944</v>
      </c>
      <c r="I140" s="1165">
        <v>25625383</v>
      </c>
      <c r="J140" s="1165">
        <v>639084</v>
      </c>
      <c r="K140" s="1165">
        <v>11437931</v>
      </c>
      <c r="L140" s="1166">
        <v>6876087</v>
      </c>
      <c r="M140" s="1166">
        <v>131003118</v>
      </c>
      <c r="N140" s="1166">
        <v>0</v>
      </c>
      <c r="O140" s="1166">
        <v>3924264</v>
      </c>
      <c r="P140" s="1166">
        <v>5396855</v>
      </c>
      <c r="Q140" s="1166">
        <v>0</v>
      </c>
      <c r="R140" s="1166">
        <v>24468574</v>
      </c>
      <c r="S140" s="1166">
        <v>36564716</v>
      </c>
      <c r="T140" s="1166">
        <v>61862032</v>
      </c>
      <c r="U140" s="1166">
        <v>0</v>
      </c>
      <c r="V140" s="1166">
        <v>91556120</v>
      </c>
      <c r="W140" s="1166">
        <v>0</v>
      </c>
      <c r="X140" s="1166">
        <v>0</v>
      </c>
      <c r="Y140" s="1166">
        <v>331688</v>
      </c>
      <c r="Z140" s="1166">
        <v>10691294</v>
      </c>
      <c r="AA140" s="1166">
        <v>9007175</v>
      </c>
      <c r="AB140" s="1166">
        <v>7310567</v>
      </c>
      <c r="AC140" s="1166">
        <v>0</v>
      </c>
      <c r="AD140" s="1166">
        <v>166929</v>
      </c>
      <c r="AE140" s="1166">
        <v>9724786</v>
      </c>
      <c r="AF140" s="1166">
        <v>12924044</v>
      </c>
      <c r="AG140" s="1166">
        <v>694744</v>
      </c>
      <c r="AH140" s="1166">
        <v>0</v>
      </c>
      <c r="AI140" s="1166">
        <v>0</v>
      </c>
      <c r="AJ140" s="1166">
        <v>2570799</v>
      </c>
      <c r="AK140" s="1166">
        <v>42250484</v>
      </c>
      <c r="AL140" s="1166">
        <v>1872920</v>
      </c>
      <c r="AM140" s="1166">
        <v>0</v>
      </c>
      <c r="AN140" s="1166">
        <v>78909005</v>
      </c>
      <c r="AO140" s="1166">
        <v>79868896</v>
      </c>
      <c r="AP140" s="1166">
        <v>1947177</v>
      </c>
      <c r="AQ140" s="1166">
        <v>0</v>
      </c>
      <c r="AR140" s="1166">
        <v>48696529</v>
      </c>
      <c r="AS140" s="1166">
        <v>5944057</v>
      </c>
      <c r="AT140" s="1166">
        <v>4719522</v>
      </c>
      <c r="AU140" s="1166">
        <v>5916860</v>
      </c>
      <c r="AV140" s="1166">
        <v>36957979</v>
      </c>
      <c r="AW140" s="1166">
        <v>1840947</v>
      </c>
      <c r="AX140" s="1166">
        <v>5392287</v>
      </c>
      <c r="AY140" s="1166">
        <v>11047474</v>
      </c>
      <c r="AZ140" s="1166">
        <v>9381954</v>
      </c>
      <c r="BA140" s="1166">
        <v>17137335</v>
      </c>
      <c r="BB140" s="1166">
        <v>1587</v>
      </c>
      <c r="BC140" s="1166">
        <v>3681026</v>
      </c>
      <c r="BD140" s="1166">
        <v>0</v>
      </c>
      <c r="BE140" s="1166">
        <v>0</v>
      </c>
      <c r="BF140" s="1166">
        <v>61460676</v>
      </c>
      <c r="BG140" s="1166">
        <v>0</v>
      </c>
      <c r="BH140" s="1166">
        <v>0</v>
      </c>
      <c r="BI140" s="1166">
        <v>7677098</v>
      </c>
      <c r="BJ140" s="1166">
        <v>7663619</v>
      </c>
      <c r="BK140" s="1166">
        <v>5950621</v>
      </c>
      <c r="BL140" s="1166">
        <v>13721558</v>
      </c>
      <c r="BM140" s="1166">
        <v>8462815</v>
      </c>
      <c r="BN140" s="1166">
        <v>0</v>
      </c>
      <c r="BO140" s="1166">
        <v>21355927</v>
      </c>
      <c r="BP140" s="1166">
        <v>12624222</v>
      </c>
      <c r="BQ140" s="1166">
        <v>8940927</v>
      </c>
      <c r="BR140" s="1166">
        <v>7040594</v>
      </c>
      <c r="BS140" s="1166">
        <v>0</v>
      </c>
      <c r="BT140" s="1166">
        <v>0</v>
      </c>
      <c r="BU140" s="1166">
        <v>7030022</v>
      </c>
      <c r="BV140" s="1166">
        <v>17529503</v>
      </c>
      <c r="BW140" s="1166">
        <v>5670917</v>
      </c>
      <c r="BX140" s="1166">
        <v>3214217</v>
      </c>
      <c r="BY140" s="1166">
        <v>0</v>
      </c>
      <c r="BZ140" s="1166">
        <v>0</v>
      </c>
      <c r="CA140" s="1166">
        <v>63410531</v>
      </c>
      <c r="CB140" s="1166">
        <v>0</v>
      </c>
    </row>
    <row r="141" spans="1:80" s="1156" customFormat="1" x14ac:dyDescent="0.3">
      <c r="A141" s="1161">
        <v>382</v>
      </c>
      <c r="B141" s="1162">
        <v>382</v>
      </c>
      <c r="C141" s="1163" t="s">
        <v>114</v>
      </c>
      <c r="D141" s="1154" t="s">
        <v>458</v>
      </c>
      <c r="E141" s="1164">
        <v>0</v>
      </c>
      <c r="F141" s="1165">
        <v>0</v>
      </c>
      <c r="G141" s="1165">
        <v>0</v>
      </c>
      <c r="H141" s="1165">
        <v>0</v>
      </c>
      <c r="I141" s="1165">
        <v>0</v>
      </c>
      <c r="J141" s="1165">
        <v>0</v>
      </c>
      <c r="K141" s="1165">
        <v>0</v>
      </c>
      <c r="L141" s="1166">
        <v>0</v>
      </c>
      <c r="M141" s="1166">
        <v>0</v>
      </c>
      <c r="N141" s="1166">
        <v>0</v>
      </c>
      <c r="O141" s="1166">
        <v>0</v>
      </c>
      <c r="P141" s="1166">
        <v>0</v>
      </c>
      <c r="Q141" s="1166">
        <v>0</v>
      </c>
      <c r="R141" s="1166">
        <v>0</v>
      </c>
      <c r="S141" s="1166">
        <v>0</v>
      </c>
      <c r="T141" s="1166">
        <v>13586303</v>
      </c>
      <c r="U141" s="1166">
        <v>0</v>
      </c>
      <c r="V141" s="1166">
        <v>62948633</v>
      </c>
      <c r="W141" s="1166">
        <v>0</v>
      </c>
      <c r="X141" s="1166">
        <v>0</v>
      </c>
      <c r="Y141" s="1166">
        <v>0</v>
      </c>
      <c r="Z141" s="1166">
        <v>0</v>
      </c>
      <c r="AA141" s="1166">
        <v>2333499</v>
      </c>
      <c r="AB141" s="1166">
        <v>1030742</v>
      </c>
      <c r="AC141" s="1166">
        <v>0</v>
      </c>
      <c r="AD141" s="1166">
        <v>0</v>
      </c>
      <c r="AE141" s="1166">
        <v>0</v>
      </c>
      <c r="AF141" s="1166">
        <v>4324287</v>
      </c>
      <c r="AG141" s="1166">
        <v>0</v>
      </c>
      <c r="AH141" s="1166">
        <v>0</v>
      </c>
      <c r="AI141" s="1166">
        <v>0</v>
      </c>
      <c r="AJ141" s="1166">
        <v>0</v>
      </c>
      <c r="AK141" s="1166">
        <v>14007707</v>
      </c>
      <c r="AL141" s="1166">
        <v>0</v>
      </c>
      <c r="AM141" s="1166">
        <v>0</v>
      </c>
      <c r="AN141" s="1166">
        <v>0</v>
      </c>
      <c r="AO141" s="1166">
        <v>0</v>
      </c>
      <c r="AP141" s="1166">
        <v>0</v>
      </c>
      <c r="AQ141" s="1166">
        <v>0</v>
      </c>
      <c r="AR141" s="1166">
        <v>67443967</v>
      </c>
      <c r="AS141" s="1166">
        <v>0</v>
      </c>
      <c r="AT141" s="1166">
        <v>0</v>
      </c>
      <c r="AU141" s="1166">
        <v>0</v>
      </c>
      <c r="AV141" s="1166">
        <v>8488953</v>
      </c>
      <c r="AW141" s="1166">
        <v>0</v>
      </c>
      <c r="AX141" s="1166">
        <v>0</v>
      </c>
      <c r="AY141" s="1166">
        <v>0</v>
      </c>
      <c r="AZ141" s="1166">
        <v>0</v>
      </c>
      <c r="BA141" s="1166">
        <v>6630300</v>
      </c>
      <c r="BB141" s="1166">
        <v>0</v>
      </c>
      <c r="BC141" s="1166">
        <v>0</v>
      </c>
      <c r="BD141" s="1166">
        <v>0</v>
      </c>
      <c r="BE141" s="1166">
        <v>0</v>
      </c>
      <c r="BF141" s="1166">
        <v>30090334</v>
      </c>
      <c r="BG141" s="1166">
        <v>0</v>
      </c>
      <c r="BH141" s="1166">
        <v>0</v>
      </c>
      <c r="BI141" s="1166">
        <v>0</v>
      </c>
      <c r="BJ141" s="1166">
        <v>0</v>
      </c>
      <c r="BK141" s="1166">
        <v>0</v>
      </c>
      <c r="BL141" s="1166">
        <v>5925114</v>
      </c>
      <c r="BM141" s="1166">
        <v>0</v>
      </c>
      <c r="BN141" s="1166">
        <v>0</v>
      </c>
      <c r="BO141" s="1166">
        <v>0</v>
      </c>
      <c r="BP141" s="1166">
        <v>0</v>
      </c>
      <c r="BQ141" s="1166">
        <v>0</v>
      </c>
      <c r="BR141" s="1166">
        <v>0</v>
      </c>
      <c r="BS141" s="1166">
        <v>0</v>
      </c>
      <c r="BT141" s="1166">
        <v>0</v>
      </c>
      <c r="BU141" s="1166">
        <v>0</v>
      </c>
      <c r="BV141" s="1166">
        <v>0</v>
      </c>
      <c r="BW141" s="1166">
        <v>0</v>
      </c>
      <c r="BX141" s="1166">
        <v>0</v>
      </c>
      <c r="BY141" s="1166">
        <v>0</v>
      </c>
      <c r="BZ141" s="1166">
        <v>0</v>
      </c>
      <c r="CA141" s="1166">
        <v>0</v>
      </c>
      <c r="CB141" s="1166">
        <v>0</v>
      </c>
    </row>
    <row r="142" spans="1:80" s="1156" customFormat="1" x14ac:dyDescent="0.3">
      <c r="A142" s="1161">
        <v>383</v>
      </c>
      <c r="B142" s="1162">
        <v>383</v>
      </c>
      <c r="C142" s="1163" t="s">
        <v>221</v>
      </c>
      <c r="D142" s="1154" t="s">
        <v>459</v>
      </c>
      <c r="E142" s="1164">
        <v>0</v>
      </c>
      <c r="F142" s="1165">
        <v>0</v>
      </c>
      <c r="G142" s="1165">
        <v>0</v>
      </c>
      <c r="H142" s="1165">
        <v>0</v>
      </c>
      <c r="I142" s="1165">
        <v>0</v>
      </c>
      <c r="J142" s="1165">
        <v>0</v>
      </c>
      <c r="K142" s="1165">
        <v>0</v>
      </c>
      <c r="L142" s="1166">
        <v>0</v>
      </c>
      <c r="M142" s="1166">
        <v>0</v>
      </c>
      <c r="N142" s="1166">
        <v>0</v>
      </c>
      <c r="O142" s="1166">
        <v>566</v>
      </c>
      <c r="P142" s="1166">
        <v>0</v>
      </c>
      <c r="Q142" s="1166">
        <v>0</v>
      </c>
      <c r="R142" s="1166">
        <v>0</v>
      </c>
      <c r="S142" s="1166">
        <v>0</v>
      </c>
      <c r="T142" s="1166">
        <v>0</v>
      </c>
      <c r="U142" s="1166">
        <v>0</v>
      </c>
      <c r="V142" s="1166">
        <v>0</v>
      </c>
      <c r="W142" s="1166">
        <v>0</v>
      </c>
      <c r="X142" s="1166">
        <v>0</v>
      </c>
      <c r="Y142" s="1166">
        <v>0</v>
      </c>
      <c r="Z142" s="1166">
        <v>0</v>
      </c>
      <c r="AA142" s="1166">
        <v>0</v>
      </c>
      <c r="AB142" s="1166">
        <v>0</v>
      </c>
      <c r="AC142" s="1166">
        <v>0</v>
      </c>
      <c r="AD142" s="1166">
        <v>0</v>
      </c>
      <c r="AE142" s="1166">
        <v>0</v>
      </c>
      <c r="AF142" s="1166">
        <v>0</v>
      </c>
      <c r="AG142" s="1166">
        <v>0</v>
      </c>
      <c r="AH142" s="1166">
        <v>0</v>
      </c>
      <c r="AI142" s="1166">
        <v>0</v>
      </c>
      <c r="AJ142" s="1166">
        <v>0</v>
      </c>
      <c r="AK142" s="1166">
        <v>0</v>
      </c>
      <c r="AL142" s="1166">
        <v>0</v>
      </c>
      <c r="AM142" s="1166">
        <v>0</v>
      </c>
      <c r="AN142" s="1166">
        <v>0</v>
      </c>
      <c r="AO142" s="1166">
        <v>0</v>
      </c>
      <c r="AP142" s="1166">
        <v>0</v>
      </c>
      <c r="AQ142" s="1166">
        <v>0</v>
      </c>
      <c r="AR142" s="1166">
        <v>0</v>
      </c>
      <c r="AS142" s="1166">
        <v>2000</v>
      </c>
      <c r="AT142" s="1166">
        <v>0</v>
      </c>
      <c r="AU142" s="1166">
        <v>0</v>
      </c>
      <c r="AV142" s="1166">
        <v>0</v>
      </c>
      <c r="AW142" s="1166">
        <v>0</v>
      </c>
      <c r="AX142" s="1166">
        <v>0</v>
      </c>
      <c r="AY142" s="1166">
        <v>0</v>
      </c>
      <c r="AZ142" s="1166">
        <v>0</v>
      </c>
      <c r="BA142" s="1166">
        <v>0</v>
      </c>
      <c r="BB142" s="1166">
        <v>0</v>
      </c>
      <c r="BC142" s="1166">
        <v>0</v>
      </c>
      <c r="BD142" s="1166">
        <v>0</v>
      </c>
      <c r="BE142" s="1166">
        <v>0</v>
      </c>
      <c r="BF142" s="1166">
        <v>0</v>
      </c>
      <c r="BG142" s="1166">
        <v>0</v>
      </c>
      <c r="BH142" s="1166">
        <v>0</v>
      </c>
      <c r="BI142" s="1166">
        <v>0</v>
      </c>
      <c r="BJ142" s="1166">
        <v>0</v>
      </c>
      <c r="BK142" s="1166">
        <v>0</v>
      </c>
      <c r="BL142" s="1166">
        <v>0</v>
      </c>
      <c r="BM142" s="1166">
        <v>0</v>
      </c>
      <c r="BN142" s="1166">
        <v>0</v>
      </c>
      <c r="BO142" s="1166">
        <v>0</v>
      </c>
      <c r="BP142" s="1166">
        <v>6921</v>
      </c>
      <c r="BQ142" s="1166">
        <v>0</v>
      </c>
      <c r="BR142" s="1166">
        <v>0</v>
      </c>
      <c r="BS142" s="1166">
        <v>0</v>
      </c>
      <c r="BT142" s="1166">
        <v>0</v>
      </c>
      <c r="BU142" s="1166">
        <v>0</v>
      </c>
      <c r="BV142" s="1166">
        <v>0</v>
      </c>
      <c r="BW142" s="1166">
        <v>25000</v>
      </c>
      <c r="BX142" s="1166">
        <v>0</v>
      </c>
      <c r="BY142" s="1166">
        <v>0</v>
      </c>
      <c r="BZ142" s="1166">
        <v>0</v>
      </c>
      <c r="CA142" s="1166">
        <v>0</v>
      </c>
      <c r="CB142" s="1166">
        <v>0</v>
      </c>
    </row>
    <row r="143" spans="1:80" s="1156" customFormat="1" ht="28.8" x14ac:dyDescent="0.3">
      <c r="A143" s="1161">
        <v>384</v>
      </c>
      <c r="B143" s="1162">
        <v>384</v>
      </c>
      <c r="C143" s="1163" t="s">
        <v>124</v>
      </c>
      <c r="D143" s="1154" t="s">
        <v>460</v>
      </c>
      <c r="E143" s="1164">
        <v>0</v>
      </c>
      <c r="F143" s="1165">
        <v>0</v>
      </c>
      <c r="G143" s="1165">
        <v>0</v>
      </c>
      <c r="H143" s="1165">
        <v>0</v>
      </c>
      <c r="I143" s="1165">
        <v>0</v>
      </c>
      <c r="J143" s="1165">
        <v>0</v>
      </c>
      <c r="K143" s="1165">
        <v>0</v>
      </c>
      <c r="L143" s="1166">
        <v>0</v>
      </c>
      <c r="M143" s="1166">
        <v>0</v>
      </c>
      <c r="N143" s="1166">
        <v>0</v>
      </c>
      <c r="O143" s="1166">
        <v>0</v>
      </c>
      <c r="P143" s="1166">
        <v>0</v>
      </c>
      <c r="Q143" s="1166">
        <v>0</v>
      </c>
      <c r="R143" s="1166">
        <v>0</v>
      </c>
      <c r="S143" s="1166">
        <v>0</v>
      </c>
      <c r="T143" s="1166">
        <v>0</v>
      </c>
      <c r="U143" s="1166">
        <v>0</v>
      </c>
      <c r="V143" s="1166">
        <v>0</v>
      </c>
      <c r="W143" s="1166">
        <v>0</v>
      </c>
      <c r="X143" s="1166">
        <v>0</v>
      </c>
      <c r="Y143" s="1166">
        <v>0</v>
      </c>
      <c r="Z143" s="1166">
        <v>0</v>
      </c>
      <c r="AA143" s="1166">
        <v>0</v>
      </c>
      <c r="AB143" s="1166">
        <v>0</v>
      </c>
      <c r="AC143" s="1166">
        <v>0</v>
      </c>
      <c r="AD143" s="1166">
        <v>0</v>
      </c>
      <c r="AE143" s="1166">
        <v>0</v>
      </c>
      <c r="AF143" s="1166">
        <v>0</v>
      </c>
      <c r="AG143" s="1166">
        <v>0</v>
      </c>
      <c r="AH143" s="1166">
        <v>0</v>
      </c>
      <c r="AI143" s="1166">
        <v>0</v>
      </c>
      <c r="AJ143" s="1166">
        <v>0</v>
      </c>
      <c r="AK143" s="1166">
        <v>0</v>
      </c>
      <c r="AL143" s="1166">
        <v>0</v>
      </c>
      <c r="AM143" s="1166">
        <v>0</v>
      </c>
      <c r="AN143" s="1166">
        <v>0</v>
      </c>
      <c r="AO143" s="1166">
        <v>0</v>
      </c>
      <c r="AP143" s="1166">
        <v>0</v>
      </c>
      <c r="AQ143" s="1166">
        <v>0</v>
      </c>
      <c r="AR143" s="1166">
        <v>0</v>
      </c>
      <c r="AS143" s="1166">
        <v>0</v>
      </c>
      <c r="AT143" s="1166">
        <v>0</v>
      </c>
      <c r="AU143" s="1166">
        <v>0</v>
      </c>
      <c r="AV143" s="1166">
        <v>0</v>
      </c>
      <c r="AW143" s="1166">
        <v>0</v>
      </c>
      <c r="AX143" s="1166">
        <v>0</v>
      </c>
      <c r="AY143" s="1166">
        <v>0</v>
      </c>
      <c r="AZ143" s="1166">
        <v>0</v>
      </c>
      <c r="BA143" s="1166">
        <v>0</v>
      </c>
      <c r="BB143" s="1166">
        <v>0</v>
      </c>
      <c r="BC143" s="1166">
        <v>0</v>
      </c>
      <c r="BD143" s="1166">
        <v>0</v>
      </c>
      <c r="BE143" s="1166">
        <v>0</v>
      </c>
      <c r="BF143" s="1166">
        <v>0</v>
      </c>
      <c r="BG143" s="1166">
        <v>0</v>
      </c>
      <c r="BH143" s="1166">
        <v>0</v>
      </c>
      <c r="BI143" s="1166">
        <v>0</v>
      </c>
      <c r="BJ143" s="1166">
        <v>0</v>
      </c>
      <c r="BK143" s="1166">
        <v>0</v>
      </c>
      <c r="BL143" s="1166">
        <v>0</v>
      </c>
      <c r="BM143" s="1166">
        <v>0</v>
      </c>
      <c r="BN143" s="1166">
        <v>0</v>
      </c>
      <c r="BO143" s="1166">
        <v>0</v>
      </c>
      <c r="BP143" s="1166">
        <v>0</v>
      </c>
      <c r="BQ143" s="1166">
        <v>0</v>
      </c>
      <c r="BR143" s="1166">
        <v>0</v>
      </c>
      <c r="BS143" s="1166">
        <v>0</v>
      </c>
      <c r="BT143" s="1166">
        <v>0</v>
      </c>
      <c r="BU143" s="1166">
        <v>0</v>
      </c>
      <c r="BV143" s="1166">
        <v>0</v>
      </c>
      <c r="BW143" s="1166">
        <v>0</v>
      </c>
      <c r="BX143" s="1166">
        <v>0</v>
      </c>
      <c r="BY143" s="1166">
        <v>0</v>
      </c>
      <c r="BZ143" s="1166">
        <v>0</v>
      </c>
      <c r="CA143" s="1166">
        <v>0</v>
      </c>
      <c r="CB143" s="1166">
        <v>0</v>
      </c>
    </row>
    <row r="144" spans="1:80" s="1156" customFormat="1" x14ac:dyDescent="0.3">
      <c r="A144" s="1161">
        <v>385</v>
      </c>
      <c r="B144" s="1162">
        <v>385</v>
      </c>
      <c r="C144" s="1163" t="s">
        <v>115</v>
      </c>
      <c r="D144" s="1154" t="s">
        <v>461</v>
      </c>
      <c r="E144" s="1164">
        <v>4566372</v>
      </c>
      <c r="F144" s="1165">
        <v>86122818</v>
      </c>
      <c r="G144" s="1165">
        <v>0</v>
      </c>
      <c r="H144" s="1165">
        <v>154859742</v>
      </c>
      <c r="I144" s="1165">
        <v>15666295</v>
      </c>
      <c r="J144" s="1165">
        <v>752195</v>
      </c>
      <c r="K144" s="1165">
        <v>3751756</v>
      </c>
      <c r="L144" s="1166">
        <v>4879135</v>
      </c>
      <c r="M144" s="1166">
        <v>220418535</v>
      </c>
      <c r="N144" s="1166">
        <v>337148</v>
      </c>
      <c r="O144" s="1166">
        <v>2341622</v>
      </c>
      <c r="P144" s="1166">
        <v>2759549</v>
      </c>
      <c r="Q144" s="1166">
        <v>180812482</v>
      </c>
      <c r="R144" s="1166">
        <v>58290067</v>
      </c>
      <c r="S144" s="1166">
        <v>15186286</v>
      </c>
      <c r="T144" s="1166">
        <v>27910655</v>
      </c>
      <c r="U144" s="1166">
        <v>0</v>
      </c>
      <c r="V144" s="1166">
        <v>51831660</v>
      </c>
      <c r="W144" s="1166">
        <v>272538</v>
      </c>
      <c r="X144" s="1166">
        <v>31669405</v>
      </c>
      <c r="Y144" s="1166">
        <v>119077808</v>
      </c>
      <c r="Z144" s="1166">
        <v>18233738</v>
      </c>
      <c r="AA144" s="1166">
        <v>5283348</v>
      </c>
      <c r="AB144" s="1166">
        <v>15257090</v>
      </c>
      <c r="AC144" s="1166">
        <v>1805313</v>
      </c>
      <c r="AD144" s="1166">
        <v>564011</v>
      </c>
      <c r="AE144" s="1166">
        <v>3758920</v>
      </c>
      <c r="AF144" s="1166">
        <v>6937383</v>
      </c>
      <c r="AG144" s="1166">
        <v>1337372</v>
      </c>
      <c r="AH144" s="1166">
        <v>175596</v>
      </c>
      <c r="AI144" s="1166">
        <v>1392125</v>
      </c>
      <c r="AJ144" s="1166">
        <v>4176879</v>
      </c>
      <c r="AK144" s="1166">
        <v>18279594</v>
      </c>
      <c r="AL144" s="1166">
        <v>979687</v>
      </c>
      <c r="AM144" s="1166">
        <v>141374</v>
      </c>
      <c r="AN144" s="1166">
        <v>86511702</v>
      </c>
      <c r="AO144" s="1166">
        <v>39671202</v>
      </c>
      <c r="AP144" s="1166">
        <v>960692</v>
      </c>
      <c r="AQ144" s="1166">
        <v>20469666</v>
      </c>
      <c r="AR144" s="1166">
        <v>78045049</v>
      </c>
      <c r="AS144" s="1166">
        <v>5265120</v>
      </c>
      <c r="AT144" s="1166">
        <v>2676655</v>
      </c>
      <c r="AU144" s="1166">
        <v>10530402</v>
      </c>
      <c r="AV144" s="1166">
        <v>28855575</v>
      </c>
      <c r="AW144" s="1166">
        <v>1056140</v>
      </c>
      <c r="AX144" s="1166">
        <v>1748096</v>
      </c>
      <c r="AY144" s="1166">
        <v>16507029</v>
      </c>
      <c r="AZ144" s="1166">
        <v>6361336</v>
      </c>
      <c r="BA144" s="1166">
        <v>9937562</v>
      </c>
      <c r="BB144" s="1166">
        <v>148189</v>
      </c>
      <c r="BC144" s="1166">
        <v>3773154</v>
      </c>
      <c r="BD144" s="1166">
        <v>0</v>
      </c>
      <c r="BE144" s="1166">
        <v>422501</v>
      </c>
      <c r="BF144" s="1166">
        <v>57771185</v>
      </c>
      <c r="BG144" s="1166">
        <v>0</v>
      </c>
      <c r="BH144" s="1166">
        <v>236755</v>
      </c>
      <c r="BI144" s="1166">
        <v>6523811</v>
      </c>
      <c r="BJ144" s="1166">
        <v>11712869</v>
      </c>
      <c r="BK144" s="1166">
        <v>1053332</v>
      </c>
      <c r="BL144" s="1166">
        <v>15137769</v>
      </c>
      <c r="BM144" s="1166">
        <v>14441091</v>
      </c>
      <c r="BN144" s="1166">
        <v>189429</v>
      </c>
      <c r="BO144" s="1166">
        <v>15653783</v>
      </c>
      <c r="BP144" s="1166">
        <v>8379262</v>
      </c>
      <c r="BQ144" s="1166">
        <v>2394194</v>
      </c>
      <c r="BR144" s="1166">
        <v>4749806</v>
      </c>
      <c r="BS144" s="1166">
        <v>11886705</v>
      </c>
      <c r="BT144" s="1166">
        <v>277792914</v>
      </c>
      <c r="BU144" s="1166">
        <v>5491723</v>
      </c>
      <c r="BV144" s="1166">
        <v>5349198</v>
      </c>
      <c r="BW144" s="1166">
        <v>2523357</v>
      </c>
      <c r="BX144" s="1166">
        <v>4774260</v>
      </c>
      <c r="BY144" s="1166">
        <v>194841</v>
      </c>
      <c r="BZ144" s="1166">
        <v>223162</v>
      </c>
      <c r="CA144" s="1166">
        <v>80045301</v>
      </c>
      <c r="CB144" s="1166">
        <v>365922</v>
      </c>
    </row>
    <row r="145" spans="1:80" s="1156" customFormat="1" x14ac:dyDescent="0.3">
      <c r="A145" s="1161">
        <v>386</v>
      </c>
      <c r="B145" s="1162">
        <v>386</v>
      </c>
      <c r="C145" s="1163" t="s">
        <v>194</v>
      </c>
      <c r="D145" s="1154" t="s">
        <v>462</v>
      </c>
      <c r="E145" s="1164">
        <v>0</v>
      </c>
      <c r="F145" s="1165">
        <v>6300486</v>
      </c>
      <c r="G145" s="1165">
        <v>0</v>
      </c>
      <c r="H145" s="1165">
        <v>0</v>
      </c>
      <c r="I145" s="1165">
        <v>0</v>
      </c>
      <c r="J145" s="1165">
        <v>0</v>
      </c>
      <c r="K145" s="1165">
        <v>0</v>
      </c>
      <c r="L145" s="1166">
        <v>0</v>
      </c>
      <c r="M145" s="1166">
        <v>0</v>
      </c>
      <c r="N145" s="1166">
        <v>0</v>
      </c>
      <c r="O145" s="1166">
        <v>0</v>
      </c>
      <c r="P145" s="1166">
        <v>0</v>
      </c>
      <c r="Q145" s="1166">
        <v>0</v>
      </c>
      <c r="R145" s="1166">
        <v>0</v>
      </c>
      <c r="S145" s="1166">
        <v>0</v>
      </c>
      <c r="T145" s="1166">
        <v>2430000</v>
      </c>
      <c r="U145" s="1166">
        <v>0</v>
      </c>
      <c r="V145" s="1166">
        <v>957250</v>
      </c>
      <c r="W145" s="1166">
        <v>0</v>
      </c>
      <c r="X145" s="1166">
        <v>0</v>
      </c>
      <c r="Y145" s="1166">
        <v>0</v>
      </c>
      <c r="Z145" s="1166">
        <v>0</v>
      </c>
      <c r="AA145" s="1166">
        <v>20462</v>
      </c>
      <c r="AB145" s="1166">
        <v>0</v>
      </c>
      <c r="AC145" s="1166">
        <v>0</v>
      </c>
      <c r="AD145" s="1166">
        <v>0</v>
      </c>
      <c r="AE145" s="1166">
        <v>0</v>
      </c>
      <c r="AF145" s="1166">
        <v>650000</v>
      </c>
      <c r="AG145" s="1166">
        <v>0</v>
      </c>
      <c r="AH145" s="1166">
        <v>0</v>
      </c>
      <c r="AI145" s="1166">
        <v>0</v>
      </c>
      <c r="AJ145" s="1166">
        <v>0</v>
      </c>
      <c r="AK145" s="1166">
        <v>553402</v>
      </c>
      <c r="AL145" s="1166">
        <v>0</v>
      </c>
      <c r="AM145" s="1166">
        <v>0</v>
      </c>
      <c r="AN145" s="1166">
        <v>0</v>
      </c>
      <c r="AO145" s="1166">
        <v>0</v>
      </c>
      <c r="AP145" s="1166">
        <v>100</v>
      </c>
      <c r="AQ145" s="1166">
        <v>0</v>
      </c>
      <c r="AR145" s="1166">
        <v>2889968</v>
      </c>
      <c r="AS145" s="1166">
        <v>0</v>
      </c>
      <c r="AT145" s="1166">
        <v>11853</v>
      </c>
      <c r="AU145" s="1166">
        <v>0</v>
      </c>
      <c r="AV145" s="1166">
        <v>405071</v>
      </c>
      <c r="AW145" s="1166">
        <v>20000</v>
      </c>
      <c r="AX145" s="1166">
        <v>0</v>
      </c>
      <c r="AY145" s="1166">
        <v>0</v>
      </c>
      <c r="AZ145" s="1166">
        <v>60000</v>
      </c>
      <c r="BA145" s="1166">
        <v>377370</v>
      </c>
      <c r="BB145" s="1166">
        <v>0</v>
      </c>
      <c r="BC145" s="1166">
        <v>0</v>
      </c>
      <c r="BD145" s="1166">
        <v>0</v>
      </c>
      <c r="BE145" s="1166">
        <v>0</v>
      </c>
      <c r="BF145" s="1166">
        <v>788145</v>
      </c>
      <c r="BG145" s="1166">
        <v>0</v>
      </c>
      <c r="BH145" s="1166">
        <v>0</v>
      </c>
      <c r="BI145" s="1166">
        <v>0</v>
      </c>
      <c r="BJ145" s="1166">
        <v>0</v>
      </c>
      <c r="BK145" s="1166">
        <v>0</v>
      </c>
      <c r="BL145" s="1166">
        <v>0</v>
      </c>
      <c r="BM145" s="1166">
        <v>0</v>
      </c>
      <c r="BN145" s="1166">
        <v>0</v>
      </c>
      <c r="BO145" s="1166">
        <v>173000</v>
      </c>
      <c r="BP145" s="1166">
        <v>0</v>
      </c>
      <c r="BQ145" s="1166">
        <v>0</v>
      </c>
      <c r="BR145" s="1166">
        <v>1495868</v>
      </c>
      <c r="BS145" s="1166">
        <v>0</v>
      </c>
      <c r="BT145" s="1166">
        <v>0</v>
      </c>
      <c r="BU145" s="1166">
        <v>0</v>
      </c>
      <c r="BV145" s="1166">
        <v>0</v>
      </c>
      <c r="BW145" s="1166">
        <v>0</v>
      </c>
      <c r="BX145" s="1166">
        <v>0</v>
      </c>
      <c r="BY145" s="1166">
        <v>0</v>
      </c>
      <c r="BZ145" s="1166">
        <v>0</v>
      </c>
      <c r="CA145" s="1166">
        <v>0</v>
      </c>
      <c r="CB145" s="1166">
        <v>0</v>
      </c>
    </row>
    <row r="146" spans="1:80" s="1156" customFormat="1" x14ac:dyDescent="0.3">
      <c r="A146" s="1161">
        <v>387</v>
      </c>
      <c r="B146" s="1162">
        <v>387</v>
      </c>
      <c r="C146" s="1163" t="s">
        <v>195</v>
      </c>
      <c r="D146" s="1154" t="s">
        <v>463</v>
      </c>
      <c r="E146" s="1164">
        <v>0</v>
      </c>
      <c r="F146" s="1165">
        <v>6300486</v>
      </c>
      <c r="G146" s="1165">
        <v>0</v>
      </c>
      <c r="H146" s="1165">
        <v>1309596</v>
      </c>
      <c r="I146" s="1165">
        <v>0</v>
      </c>
      <c r="J146" s="1165">
        <v>0</v>
      </c>
      <c r="K146" s="1165">
        <v>263060</v>
      </c>
      <c r="L146" s="1166">
        <v>0</v>
      </c>
      <c r="M146" s="1166">
        <v>5064650</v>
      </c>
      <c r="N146" s="1166">
        <v>0</v>
      </c>
      <c r="O146" s="1166">
        <v>0</v>
      </c>
      <c r="P146" s="1166">
        <v>0</v>
      </c>
      <c r="Q146" s="1166">
        <v>231805</v>
      </c>
      <c r="R146" s="1166">
        <v>0</v>
      </c>
      <c r="S146" s="1166">
        <v>0</v>
      </c>
      <c r="T146" s="1166">
        <v>0</v>
      </c>
      <c r="U146" s="1166">
        <v>0</v>
      </c>
      <c r="V146" s="1166">
        <v>0</v>
      </c>
      <c r="W146" s="1166">
        <v>0</v>
      </c>
      <c r="X146" s="1166">
        <v>0</v>
      </c>
      <c r="Y146" s="1166">
        <v>0</v>
      </c>
      <c r="Z146" s="1166">
        <v>0</v>
      </c>
      <c r="AA146" s="1166">
        <v>0</v>
      </c>
      <c r="AB146" s="1166">
        <v>0</v>
      </c>
      <c r="AC146" s="1166">
        <v>0</v>
      </c>
      <c r="AD146" s="1166">
        <v>0</v>
      </c>
      <c r="AE146" s="1166">
        <v>0</v>
      </c>
      <c r="AF146" s="1166">
        <v>0</v>
      </c>
      <c r="AG146" s="1166">
        <v>0</v>
      </c>
      <c r="AH146" s="1166">
        <v>0</v>
      </c>
      <c r="AI146" s="1166">
        <v>0</v>
      </c>
      <c r="AJ146" s="1166">
        <v>1000</v>
      </c>
      <c r="AK146" s="1166">
        <v>0</v>
      </c>
      <c r="AL146" s="1166">
        <v>0</v>
      </c>
      <c r="AM146" s="1166">
        <v>0</v>
      </c>
      <c r="AN146" s="1166">
        <v>169492</v>
      </c>
      <c r="AO146" s="1166">
        <v>0</v>
      </c>
      <c r="AP146" s="1166">
        <v>0</v>
      </c>
      <c r="AQ146" s="1166">
        <v>0</v>
      </c>
      <c r="AR146" s="1166">
        <v>549707</v>
      </c>
      <c r="AS146" s="1166">
        <v>0</v>
      </c>
      <c r="AT146" s="1166">
        <v>10765</v>
      </c>
      <c r="AU146" s="1166">
        <v>0</v>
      </c>
      <c r="AV146" s="1166">
        <v>0</v>
      </c>
      <c r="AW146" s="1166">
        <v>0</v>
      </c>
      <c r="AX146" s="1166">
        <v>0</v>
      </c>
      <c r="AY146" s="1166">
        <v>0</v>
      </c>
      <c r="AZ146" s="1166">
        <v>0</v>
      </c>
      <c r="BA146" s="1166">
        <v>109142</v>
      </c>
      <c r="BB146" s="1166">
        <v>0</v>
      </c>
      <c r="BC146" s="1166">
        <v>0</v>
      </c>
      <c r="BD146" s="1166">
        <v>0</v>
      </c>
      <c r="BE146" s="1166">
        <v>0</v>
      </c>
      <c r="BF146" s="1166">
        <v>25900</v>
      </c>
      <c r="BG146" s="1166">
        <v>0</v>
      </c>
      <c r="BH146" s="1166">
        <v>0</v>
      </c>
      <c r="BI146" s="1166">
        <v>0</v>
      </c>
      <c r="BJ146" s="1166">
        <v>0</v>
      </c>
      <c r="BK146" s="1166">
        <v>0</v>
      </c>
      <c r="BL146" s="1166">
        <v>0</v>
      </c>
      <c r="BM146" s="1166">
        <v>0</v>
      </c>
      <c r="BN146" s="1166">
        <v>0</v>
      </c>
      <c r="BO146" s="1166">
        <v>0</v>
      </c>
      <c r="BP146" s="1166">
        <v>0</v>
      </c>
      <c r="BQ146" s="1166">
        <v>0</v>
      </c>
      <c r="BR146" s="1166">
        <v>0</v>
      </c>
      <c r="BS146" s="1166">
        <v>0</v>
      </c>
      <c r="BT146" s="1166">
        <v>0</v>
      </c>
      <c r="BU146" s="1166">
        <v>6211</v>
      </c>
      <c r="BV146" s="1166">
        <v>21072</v>
      </c>
      <c r="BW146" s="1166">
        <v>129596</v>
      </c>
      <c r="BX146" s="1166">
        <v>0</v>
      </c>
      <c r="BY146" s="1166">
        <v>0</v>
      </c>
      <c r="BZ146" s="1166">
        <v>0</v>
      </c>
      <c r="CA146" s="1166">
        <v>1395</v>
      </c>
      <c r="CB146" s="1166">
        <v>0</v>
      </c>
    </row>
    <row r="147" spans="1:80" s="1156" customFormat="1" x14ac:dyDescent="0.3">
      <c r="A147" s="1161">
        <v>388</v>
      </c>
      <c r="B147" s="1162">
        <v>388</v>
      </c>
      <c r="C147" s="1163" t="s">
        <v>189</v>
      </c>
      <c r="D147" s="1154" t="s">
        <v>464</v>
      </c>
      <c r="E147" s="1164">
        <v>8550451</v>
      </c>
      <c r="F147" s="1165">
        <v>15452767</v>
      </c>
      <c r="G147" s="1165">
        <v>0</v>
      </c>
      <c r="H147" s="1165">
        <v>47536702</v>
      </c>
      <c r="I147" s="1165">
        <v>4246570</v>
      </c>
      <c r="J147" s="1165">
        <v>279008</v>
      </c>
      <c r="K147" s="1165">
        <v>1191228</v>
      </c>
      <c r="L147" s="1166">
        <v>2126915</v>
      </c>
      <c r="M147" s="1166">
        <v>42462525</v>
      </c>
      <c r="N147" s="1166">
        <v>93096</v>
      </c>
      <c r="O147" s="1166">
        <v>987760</v>
      </c>
      <c r="P147" s="1166">
        <v>1869948</v>
      </c>
      <c r="Q147" s="1166">
        <v>35808441</v>
      </c>
      <c r="R147" s="1166">
        <v>18591205</v>
      </c>
      <c r="S147" s="1166">
        <v>7347274</v>
      </c>
      <c r="T147" s="1166">
        <v>15598544</v>
      </c>
      <c r="U147" s="1166">
        <v>0</v>
      </c>
      <c r="V147" s="1166">
        <v>27263439</v>
      </c>
      <c r="W147" s="1166">
        <v>31440</v>
      </c>
      <c r="X147" s="1166">
        <v>11492517</v>
      </c>
      <c r="Y147" s="1166">
        <v>17457908</v>
      </c>
      <c r="Z147" s="1166">
        <v>5613669</v>
      </c>
      <c r="AA147" s="1166">
        <v>1561091</v>
      </c>
      <c r="AB147" s="1166">
        <v>4929807</v>
      </c>
      <c r="AC147" s="1166">
        <v>1120371</v>
      </c>
      <c r="AD147" s="1166">
        <v>344494</v>
      </c>
      <c r="AE147" s="1166">
        <v>1151546</v>
      </c>
      <c r="AF147" s="1166">
        <v>3749647</v>
      </c>
      <c r="AG147" s="1166">
        <v>120324</v>
      </c>
      <c r="AH147" s="1166">
        <v>42929</v>
      </c>
      <c r="AI147" s="1166">
        <v>115177</v>
      </c>
      <c r="AJ147" s="1166">
        <v>2731815</v>
      </c>
      <c r="AK147" s="1166">
        <v>8176596</v>
      </c>
      <c r="AL147" s="1166">
        <v>173353</v>
      </c>
      <c r="AM147" s="1166">
        <v>27080</v>
      </c>
      <c r="AN147" s="1166">
        <v>18626940</v>
      </c>
      <c r="AO147" s="1166">
        <v>20727133</v>
      </c>
      <c r="AP147" s="1166">
        <v>270555</v>
      </c>
      <c r="AQ147" s="1166">
        <v>4085906</v>
      </c>
      <c r="AR147" s="1166">
        <v>27322448</v>
      </c>
      <c r="AS147" s="1166">
        <v>2904449</v>
      </c>
      <c r="AT147" s="1166">
        <v>558407</v>
      </c>
      <c r="AU147" s="1166">
        <v>5011716</v>
      </c>
      <c r="AV147" s="1166">
        <v>11030667</v>
      </c>
      <c r="AW147" s="1166">
        <v>118753</v>
      </c>
      <c r="AX147" s="1166">
        <v>754358</v>
      </c>
      <c r="AY147" s="1166">
        <v>3300535</v>
      </c>
      <c r="AZ147" s="1166">
        <v>4354571</v>
      </c>
      <c r="BA147" s="1166">
        <v>3951762</v>
      </c>
      <c r="BB147" s="1166">
        <v>68667</v>
      </c>
      <c r="BC147" s="1166">
        <v>2593760</v>
      </c>
      <c r="BD147" s="1166">
        <v>0</v>
      </c>
      <c r="BE147" s="1166">
        <v>69217</v>
      </c>
      <c r="BF147" s="1166">
        <v>31996497</v>
      </c>
      <c r="BG147" s="1166">
        <v>0</v>
      </c>
      <c r="BH147" s="1166">
        <v>54089</v>
      </c>
      <c r="BI147" s="1166">
        <v>3829487</v>
      </c>
      <c r="BJ147" s="1166">
        <v>2497138</v>
      </c>
      <c r="BK147" s="1166">
        <v>672775</v>
      </c>
      <c r="BL147" s="1166">
        <v>9055035</v>
      </c>
      <c r="BM147" s="1166">
        <v>4718111</v>
      </c>
      <c r="BN147" s="1166">
        <v>44587</v>
      </c>
      <c r="BO147" s="1166">
        <v>8753077</v>
      </c>
      <c r="BP147" s="1166">
        <v>1843615</v>
      </c>
      <c r="BQ147" s="1166">
        <v>1128251</v>
      </c>
      <c r="BR147" s="1166">
        <v>2097243</v>
      </c>
      <c r="BS147" s="1166">
        <v>1255505</v>
      </c>
      <c r="BT147" s="1166">
        <v>26250443</v>
      </c>
      <c r="BU147" s="1166">
        <v>2117639</v>
      </c>
      <c r="BV147" s="1166">
        <v>2761065</v>
      </c>
      <c r="BW147" s="1166">
        <v>1254934</v>
      </c>
      <c r="BX147" s="1166">
        <v>920300</v>
      </c>
      <c r="BY147" s="1166">
        <v>32146</v>
      </c>
      <c r="BZ147" s="1166">
        <v>41461</v>
      </c>
      <c r="CA147" s="1166">
        <v>19434064</v>
      </c>
      <c r="CB147" s="1166">
        <v>76600</v>
      </c>
    </row>
    <row r="148" spans="1:80" s="1156" customFormat="1" x14ac:dyDescent="0.3">
      <c r="A148" s="1161">
        <v>389</v>
      </c>
      <c r="B148" s="1162">
        <v>389</v>
      </c>
      <c r="C148" s="1163" t="s">
        <v>196</v>
      </c>
      <c r="D148" s="1154" t="s">
        <v>465</v>
      </c>
      <c r="E148" s="1164">
        <v>0</v>
      </c>
      <c r="F148" s="1165">
        <v>0</v>
      </c>
      <c r="G148" s="1165">
        <v>0</v>
      </c>
      <c r="H148" s="1165">
        <v>0</v>
      </c>
      <c r="I148" s="1165">
        <v>0</v>
      </c>
      <c r="J148" s="1165">
        <v>0</v>
      </c>
      <c r="K148" s="1165">
        <v>0</v>
      </c>
      <c r="L148" s="1166">
        <v>0</v>
      </c>
      <c r="M148" s="1166">
        <v>0</v>
      </c>
      <c r="N148" s="1166">
        <v>0</v>
      </c>
      <c r="O148" s="1166">
        <v>0</v>
      </c>
      <c r="P148" s="1166">
        <v>0</v>
      </c>
      <c r="Q148" s="1166">
        <v>0</v>
      </c>
      <c r="R148" s="1166">
        <v>0</v>
      </c>
      <c r="S148" s="1166">
        <v>0</v>
      </c>
      <c r="T148" s="1166">
        <v>0</v>
      </c>
      <c r="U148" s="1166">
        <v>0</v>
      </c>
      <c r="V148" s="1166">
        <v>0</v>
      </c>
      <c r="W148" s="1166">
        <v>0</v>
      </c>
      <c r="X148" s="1166">
        <v>0</v>
      </c>
      <c r="Y148" s="1166">
        <v>0</v>
      </c>
      <c r="Z148" s="1166">
        <v>0</v>
      </c>
      <c r="AA148" s="1166">
        <v>0</v>
      </c>
      <c r="AB148" s="1166">
        <v>0</v>
      </c>
      <c r="AC148" s="1166">
        <v>0</v>
      </c>
      <c r="AD148" s="1166">
        <v>0</v>
      </c>
      <c r="AE148" s="1166">
        <v>0</v>
      </c>
      <c r="AF148" s="1166">
        <v>0</v>
      </c>
      <c r="AG148" s="1166">
        <v>0</v>
      </c>
      <c r="AH148" s="1166">
        <v>0</v>
      </c>
      <c r="AI148" s="1166">
        <v>0</v>
      </c>
      <c r="AJ148" s="1166">
        <v>0</v>
      </c>
      <c r="AK148" s="1166">
        <v>0</v>
      </c>
      <c r="AL148" s="1166">
        <v>0</v>
      </c>
      <c r="AM148" s="1166">
        <v>0</v>
      </c>
      <c r="AN148" s="1166">
        <v>0</v>
      </c>
      <c r="AO148" s="1166">
        <v>0</v>
      </c>
      <c r="AP148" s="1166">
        <v>0</v>
      </c>
      <c r="AQ148" s="1166">
        <v>0</v>
      </c>
      <c r="AR148" s="1166">
        <v>0</v>
      </c>
      <c r="AS148" s="1166">
        <v>0</v>
      </c>
      <c r="AT148" s="1166">
        <v>0</v>
      </c>
      <c r="AU148" s="1166">
        <v>0</v>
      </c>
      <c r="AV148" s="1166">
        <v>0</v>
      </c>
      <c r="AW148" s="1166">
        <v>0</v>
      </c>
      <c r="AX148" s="1166">
        <v>0</v>
      </c>
      <c r="AY148" s="1166">
        <v>0</v>
      </c>
      <c r="AZ148" s="1166">
        <v>0</v>
      </c>
      <c r="BA148" s="1166">
        <v>0</v>
      </c>
      <c r="BB148" s="1166">
        <v>0</v>
      </c>
      <c r="BC148" s="1166">
        <v>0</v>
      </c>
      <c r="BD148" s="1166">
        <v>0</v>
      </c>
      <c r="BE148" s="1166">
        <v>0</v>
      </c>
      <c r="BF148" s="1166">
        <v>0</v>
      </c>
      <c r="BG148" s="1166">
        <v>0</v>
      </c>
      <c r="BH148" s="1166">
        <v>0</v>
      </c>
      <c r="BI148" s="1166">
        <v>0</v>
      </c>
      <c r="BJ148" s="1166">
        <v>0</v>
      </c>
      <c r="BK148" s="1166">
        <v>0</v>
      </c>
      <c r="BL148" s="1166">
        <v>0</v>
      </c>
      <c r="BM148" s="1166">
        <v>0</v>
      </c>
      <c r="BN148" s="1166">
        <v>0</v>
      </c>
      <c r="BO148" s="1166">
        <v>0</v>
      </c>
      <c r="BP148" s="1166">
        <v>0</v>
      </c>
      <c r="BQ148" s="1166">
        <v>0</v>
      </c>
      <c r="BR148" s="1166">
        <v>0</v>
      </c>
      <c r="BS148" s="1166">
        <v>0</v>
      </c>
      <c r="BT148" s="1166">
        <v>0</v>
      </c>
      <c r="BU148" s="1166">
        <v>0</v>
      </c>
      <c r="BV148" s="1166">
        <v>0</v>
      </c>
      <c r="BW148" s="1166">
        <v>0</v>
      </c>
      <c r="BX148" s="1166">
        <v>0</v>
      </c>
      <c r="BY148" s="1166">
        <v>0</v>
      </c>
      <c r="BZ148" s="1166">
        <v>0</v>
      </c>
      <c r="CA148" s="1166">
        <v>0</v>
      </c>
      <c r="CB148" s="1166">
        <v>0</v>
      </c>
    </row>
    <row r="149" spans="1:80" s="1156" customFormat="1" x14ac:dyDescent="0.3">
      <c r="A149" s="1161">
        <v>391</v>
      </c>
      <c r="B149" s="1162">
        <v>391</v>
      </c>
      <c r="C149" s="1163" t="s">
        <v>201</v>
      </c>
      <c r="D149" s="1154" t="s">
        <v>466</v>
      </c>
      <c r="E149" s="1164">
        <v>172269</v>
      </c>
      <c r="F149" s="1165">
        <v>1969822</v>
      </c>
      <c r="G149" s="1165">
        <v>0</v>
      </c>
      <c r="H149" s="1165">
        <v>5166452</v>
      </c>
      <c r="I149" s="1165">
        <v>2321791</v>
      </c>
      <c r="J149" s="1165">
        <v>51501</v>
      </c>
      <c r="K149" s="1165">
        <v>124240</v>
      </c>
      <c r="L149" s="1166">
        <v>486552</v>
      </c>
      <c r="M149" s="1166">
        <v>2740752</v>
      </c>
      <c r="N149" s="1166">
        <v>9488</v>
      </c>
      <c r="O149" s="1166">
        <v>91876</v>
      </c>
      <c r="P149" s="1166">
        <v>137717</v>
      </c>
      <c r="Q149" s="1166">
        <v>2684497</v>
      </c>
      <c r="R149" s="1166">
        <v>3246575</v>
      </c>
      <c r="S149" s="1166">
        <v>655874</v>
      </c>
      <c r="T149" s="1166">
        <v>978247</v>
      </c>
      <c r="U149" s="1166">
        <v>0</v>
      </c>
      <c r="V149" s="1166">
        <v>2047515</v>
      </c>
      <c r="W149" s="1166">
        <v>2645</v>
      </c>
      <c r="X149" s="1166">
        <v>1190761</v>
      </c>
      <c r="Y149" s="1166">
        <v>1526809</v>
      </c>
      <c r="Z149" s="1166">
        <v>455060</v>
      </c>
      <c r="AA149" s="1166">
        <v>98049</v>
      </c>
      <c r="AB149" s="1166">
        <v>1152121</v>
      </c>
      <c r="AC149" s="1166">
        <v>95129</v>
      </c>
      <c r="AD149" s="1166">
        <v>9727</v>
      </c>
      <c r="AE149" s="1166">
        <v>138780</v>
      </c>
      <c r="AF149" s="1166">
        <v>305483</v>
      </c>
      <c r="AG149" s="1166">
        <v>10193</v>
      </c>
      <c r="AH149" s="1166">
        <v>4821</v>
      </c>
      <c r="AI149" s="1166">
        <v>5742</v>
      </c>
      <c r="AJ149" s="1166">
        <v>232556</v>
      </c>
      <c r="AK149" s="1166">
        <v>534668</v>
      </c>
      <c r="AL149" s="1166">
        <v>27419</v>
      </c>
      <c r="AM149" s="1166">
        <v>3212</v>
      </c>
      <c r="AN149" s="1166">
        <v>5652564</v>
      </c>
      <c r="AO149" s="1166">
        <v>1720855</v>
      </c>
      <c r="AP149" s="1166">
        <v>23897</v>
      </c>
      <c r="AQ149" s="1166">
        <v>501919</v>
      </c>
      <c r="AR149" s="1166">
        <v>3460236</v>
      </c>
      <c r="AS149" s="1166">
        <v>355658</v>
      </c>
      <c r="AT149" s="1166">
        <v>45541</v>
      </c>
      <c r="AU149" s="1166">
        <v>784247</v>
      </c>
      <c r="AV149" s="1166">
        <v>1758308</v>
      </c>
      <c r="AW149" s="1166">
        <v>7645</v>
      </c>
      <c r="AX149" s="1166">
        <v>30949</v>
      </c>
      <c r="AY149" s="1166">
        <v>219006</v>
      </c>
      <c r="AZ149" s="1166">
        <v>304729</v>
      </c>
      <c r="BA149" s="1166">
        <v>1069297</v>
      </c>
      <c r="BB149" s="1166">
        <v>22057</v>
      </c>
      <c r="BC149" s="1166">
        <v>135873</v>
      </c>
      <c r="BD149" s="1166">
        <v>0</v>
      </c>
      <c r="BE149" s="1166">
        <v>7378</v>
      </c>
      <c r="BF149" s="1166">
        <v>2644342</v>
      </c>
      <c r="BG149" s="1166">
        <v>0</v>
      </c>
      <c r="BH149" s="1166">
        <v>5911</v>
      </c>
      <c r="BI149" s="1166">
        <v>256323</v>
      </c>
      <c r="BJ149" s="1166">
        <v>329696</v>
      </c>
      <c r="BK149" s="1166">
        <v>161836</v>
      </c>
      <c r="BL149" s="1166">
        <v>689755</v>
      </c>
      <c r="BM149" s="1166">
        <v>364769</v>
      </c>
      <c r="BN149" s="1166">
        <v>5800</v>
      </c>
      <c r="BO149" s="1166">
        <v>928658</v>
      </c>
      <c r="BP149" s="1166">
        <v>200207</v>
      </c>
      <c r="BQ149" s="1166">
        <v>78564</v>
      </c>
      <c r="BR149" s="1166">
        <v>326850</v>
      </c>
      <c r="BS149" s="1166">
        <v>61635</v>
      </c>
      <c r="BT149" s="1166">
        <v>1529483</v>
      </c>
      <c r="BU149" s="1166">
        <v>305666</v>
      </c>
      <c r="BV149" s="1166">
        <v>208288</v>
      </c>
      <c r="BW149" s="1166">
        <v>104263</v>
      </c>
      <c r="BX149" s="1166">
        <v>454037</v>
      </c>
      <c r="BY149" s="1166">
        <v>966</v>
      </c>
      <c r="BZ149" s="1166">
        <v>5323</v>
      </c>
      <c r="CA149" s="1166">
        <v>2422768</v>
      </c>
      <c r="CB149" s="1166">
        <v>3541</v>
      </c>
    </row>
    <row r="150" spans="1:80" s="1156" customFormat="1" x14ac:dyDescent="0.3">
      <c r="A150" s="1161">
        <v>500</v>
      </c>
      <c r="B150" s="1162">
        <v>500</v>
      </c>
      <c r="C150" s="1163" t="s">
        <v>183</v>
      </c>
      <c r="D150" s="1154" t="s">
        <v>467</v>
      </c>
      <c r="E150" s="1164">
        <v>1528687</v>
      </c>
      <c r="F150" s="1165">
        <v>5506025</v>
      </c>
      <c r="G150" s="1165">
        <v>0</v>
      </c>
      <c r="H150" s="1165">
        <v>8225807</v>
      </c>
      <c r="I150" s="1165">
        <v>669337</v>
      </c>
      <c r="J150" s="1165">
        <v>109640</v>
      </c>
      <c r="K150" s="1165">
        <v>78439</v>
      </c>
      <c r="L150" s="1166">
        <v>55327</v>
      </c>
      <c r="M150" s="1166">
        <v>1575758</v>
      </c>
      <c r="N150" s="1166">
        <v>38638</v>
      </c>
      <c r="O150" s="1166">
        <v>164628</v>
      </c>
      <c r="P150" s="1166">
        <v>65274</v>
      </c>
      <c r="Q150" s="1166">
        <v>663155</v>
      </c>
      <c r="R150" s="1166">
        <v>5218501</v>
      </c>
      <c r="S150" s="1166">
        <v>29488</v>
      </c>
      <c r="T150" s="1166">
        <v>438057</v>
      </c>
      <c r="U150" s="1166">
        <v>0</v>
      </c>
      <c r="V150" s="1166">
        <v>0</v>
      </c>
      <c r="W150" s="1166">
        <v>102760</v>
      </c>
      <c r="X150" s="1166">
        <v>3308729</v>
      </c>
      <c r="Y150" s="1166">
        <v>1794597</v>
      </c>
      <c r="Z150" s="1166">
        <v>344529</v>
      </c>
      <c r="AA150" s="1166">
        <v>853800</v>
      </c>
      <c r="AB150" s="1166">
        <v>145525</v>
      </c>
      <c r="AC150" s="1166">
        <v>247603</v>
      </c>
      <c r="AD150" s="1166">
        <v>46079</v>
      </c>
      <c r="AE150" s="1166">
        <v>222988</v>
      </c>
      <c r="AF150" s="1166">
        <v>549557</v>
      </c>
      <c r="AG150" s="1166">
        <v>18748</v>
      </c>
      <c r="AH150" s="1166">
        <v>5594</v>
      </c>
      <c r="AI150" s="1166">
        <v>162029</v>
      </c>
      <c r="AJ150" s="1166">
        <v>0</v>
      </c>
      <c r="AK150" s="1166">
        <v>47052</v>
      </c>
      <c r="AL150" s="1166">
        <v>43934</v>
      </c>
      <c r="AM150" s="1166">
        <v>0</v>
      </c>
      <c r="AN150" s="1166">
        <v>3972426</v>
      </c>
      <c r="AO150" s="1166">
        <v>295897</v>
      </c>
      <c r="AP150" s="1166">
        <v>64898</v>
      </c>
      <c r="AQ150" s="1166">
        <v>730723</v>
      </c>
      <c r="AR150" s="1166">
        <v>103290</v>
      </c>
      <c r="AS150" s="1166">
        <v>752672</v>
      </c>
      <c r="AT150" s="1166">
        <v>27462</v>
      </c>
      <c r="AU150" s="1166">
        <v>142041</v>
      </c>
      <c r="AV150" s="1166">
        <v>369291</v>
      </c>
      <c r="AW150" s="1166">
        <v>3181</v>
      </c>
      <c r="AX150" s="1166">
        <v>194412</v>
      </c>
      <c r="AY150" s="1166">
        <v>321111</v>
      </c>
      <c r="AZ150" s="1166">
        <v>617678</v>
      </c>
      <c r="BA150" s="1166">
        <v>447910</v>
      </c>
      <c r="BB150" s="1166">
        <v>27627</v>
      </c>
      <c r="BC150" s="1166">
        <v>526464</v>
      </c>
      <c r="BD150" s="1166">
        <v>0</v>
      </c>
      <c r="BE150" s="1166">
        <v>8482</v>
      </c>
      <c r="BF150" s="1166">
        <v>1193288</v>
      </c>
      <c r="BG150" s="1166">
        <v>0</v>
      </c>
      <c r="BH150" s="1166">
        <v>23601</v>
      </c>
      <c r="BI150" s="1166">
        <v>7771</v>
      </c>
      <c r="BJ150" s="1166">
        <v>145974</v>
      </c>
      <c r="BK150" s="1166">
        <v>150714</v>
      </c>
      <c r="BL150" s="1166">
        <v>263304</v>
      </c>
      <c r="BM150" s="1166">
        <v>67699</v>
      </c>
      <c r="BN150" s="1166">
        <v>0</v>
      </c>
      <c r="BO150" s="1166">
        <v>597559</v>
      </c>
      <c r="BP150" s="1166">
        <v>141279</v>
      </c>
      <c r="BQ150" s="1166">
        <v>147781</v>
      </c>
      <c r="BR150" s="1166">
        <v>179396</v>
      </c>
      <c r="BS150" s="1166">
        <v>51361</v>
      </c>
      <c r="BT150" s="1166">
        <v>4808620</v>
      </c>
      <c r="BU150" s="1166">
        <v>28016</v>
      </c>
      <c r="BV150" s="1166">
        <v>248609</v>
      </c>
      <c r="BW150" s="1166">
        <v>38075</v>
      </c>
      <c r="BX150" s="1166">
        <v>99456</v>
      </c>
      <c r="BY150" s="1166">
        <v>20509</v>
      </c>
      <c r="BZ150" s="1166">
        <v>18656</v>
      </c>
      <c r="CA150" s="1166">
        <v>1170936</v>
      </c>
      <c r="CB150" s="1166">
        <v>5028</v>
      </c>
    </row>
    <row r="151" spans="1:80" s="1156" customFormat="1" x14ac:dyDescent="0.3">
      <c r="A151" s="1154"/>
      <c r="B151" s="1162">
        <v>501</v>
      </c>
      <c r="C151" s="1163" t="s">
        <v>185</v>
      </c>
      <c r="D151" s="1154" t="s">
        <v>468</v>
      </c>
      <c r="E151" s="1164">
        <v>0</v>
      </c>
      <c r="F151" s="1165">
        <v>0</v>
      </c>
      <c r="G151" s="1165">
        <v>0</v>
      </c>
      <c r="H151" s="1165">
        <v>0</v>
      </c>
      <c r="I151" s="1165">
        <v>0</v>
      </c>
      <c r="J151" s="1165">
        <v>0</v>
      </c>
      <c r="K151" s="1165">
        <v>0</v>
      </c>
      <c r="L151" s="1166">
        <v>0</v>
      </c>
      <c r="M151" s="1166">
        <v>0</v>
      </c>
      <c r="N151" s="1166">
        <v>0</v>
      </c>
      <c r="O151" s="1166">
        <v>0</v>
      </c>
      <c r="P151" s="1166">
        <v>0</v>
      </c>
      <c r="Q151" s="1166">
        <v>0</v>
      </c>
      <c r="R151" s="1166">
        <v>0</v>
      </c>
      <c r="S151" s="1166">
        <v>0</v>
      </c>
      <c r="T151" s="1166">
        <v>0</v>
      </c>
      <c r="U151" s="1166">
        <v>0</v>
      </c>
      <c r="V151" s="1166">
        <v>0</v>
      </c>
      <c r="W151" s="1166">
        <v>0</v>
      </c>
      <c r="X151" s="1166">
        <v>0</v>
      </c>
      <c r="Y151" s="1166">
        <v>0</v>
      </c>
      <c r="Z151" s="1166">
        <v>0</v>
      </c>
      <c r="AA151" s="1166">
        <v>0</v>
      </c>
      <c r="AB151" s="1166">
        <v>0</v>
      </c>
      <c r="AC151" s="1166">
        <v>0</v>
      </c>
      <c r="AD151" s="1166">
        <v>0</v>
      </c>
      <c r="AE151" s="1166">
        <v>0</v>
      </c>
      <c r="AF151" s="1166">
        <v>0</v>
      </c>
      <c r="AG151" s="1166">
        <v>0</v>
      </c>
      <c r="AH151" s="1166">
        <v>0</v>
      </c>
      <c r="AI151" s="1166">
        <v>0</v>
      </c>
      <c r="AJ151" s="1166">
        <v>0</v>
      </c>
      <c r="AK151" s="1166">
        <v>0</v>
      </c>
      <c r="AL151" s="1166">
        <v>0</v>
      </c>
      <c r="AM151" s="1166">
        <v>0</v>
      </c>
      <c r="AN151" s="1166">
        <v>0</v>
      </c>
      <c r="AO151" s="1166">
        <v>0</v>
      </c>
      <c r="AP151" s="1166">
        <v>0</v>
      </c>
      <c r="AQ151" s="1166">
        <v>0</v>
      </c>
      <c r="AR151" s="1166">
        <v>0</v>
      </c>
      <c r="AS151" s="1166">
        <v>0</v>
      </c>
      <c r="AT151" s="1166">
        <v>0</v>
      </c>
      <c r="AU151" s="1166">
        <v>0</v>
      </c>
      <c r="AV151" s="1166">
        <v>0</v>
      </c>
      <c r="AW151" s="1166">
        <v>0</v>
      </c>
      <c r="AX151" s="1166">
        <v>0</v>
      </c>
      <c r="AY151" s="1166">
        <v>0</v>
      </c>
      <c r="AZ151" s="1166">
        <v>0</v>
      </c>
      <c r="BA151" s="1166">
        <v>0</v>
      </c>
      <c r="BB151" s="1166">
        <v>0</v>
      </c>
      <c r="BC151" s="1166">
        <v>0</v>
      </c>
      <c r="BD151" s="1166">
        <v>0</v>
      </c>
      <c r="BE151" s="1166">
        <v>0</v>
      </c>
      <c r="BF151" s="1166">
        <v>0</v>
      </c>
      <c r="BG151" s="1166">
        <v>0</v>
      </c>
      <c r="BH151" s="1166">
        <v>0</v>
      </c>
      <c r="BI151" s="1166">
        <v>0</v>
      </c>
      <c r="BJ151" s="1166">
        <v>0</v>
      </c>
      <c r="BK151" s="1166">
        <v>0</v>
      </c>
      <c r="BL151" s="1166">
        <v>0</v>
      </c>
      <c r="BM151" s="1166">
        <v>0</v>
      </c>
      <c r="BN151" s="1166">
        <v>0</v>
      </c>
      <c r="BO151" s="1166">
        <v>0</v>
      </c>
      <c r="BP151" s="1166">
        <v>0</v>
      </c>
      <c r="BQ151" s="1166">
        <v>0</v>
      </c>
      <c r="BR151" s="1166">
        <v>0</v>
      </c>
      <c r="BS151" s="1166">
        <v>0</v>
      </c>
      <c r="BT151" s="1166">
        <v>0</v>
      </c>
      <c r="BU151" s="1166">
        <v>0</v>
      </c>
      <c r="BV151" s="1166">
        <v>0</v>
      </c>
      <c r="BW151" s="1166">
        <v>0</v>
      </c>
      <c r="BX151" s="1166">
        <v>0</v>
      </c>
      <c r="BY151" s="1166">
        <v>0</v>
      </c>
      <c r="BZ151" s="1166">
        <v>0</v>
      </c>
      <c r="CA151" s="1166">
        <v>0</v>
      </c>
      <c r="CB151" s="1166">
        <v>0</v>
      </c>
    </row>
    <row r="152" spans="1:80" s="1156" customFormat="1" x14ac:dyDescent="0.3">
      <c r="A152" s="1161">
        <v>502</v>
      </c>
      <c r="B152" s="1162">
        <v>502</v>
      </c>
      <c r="C152" s="1163" t="s">
        <v>186</v>
      </c>
      <c r="D152" s="1154" t="s">
        <v>469</v>
      </c>
      <c r="E152" s="1164">
        <v>0</v>
      </c>
      <c r="F152" s="1165">
        <v>5168092</v>
      </c>
      <c r="G152" s="1165">
        <v>0</v>
      </c>
      <c r="H152" s="1165">
        <v>40877222</v>
      </c>
      <c r="I152" s="1165">
        <v>8396607</v>
      </c>
      <c r="J152" s="1165">
        <v>213368</v>
      </c>
      <c r="K152" s="1165">
        <v>5995235</v>
      </c>
      <c r="L152" s="1166">
        <v>611159</v>
      </c>
      <c r="M152" s="1166">
        <v>10197282</v>
      </c>
      <c r="N152" s="1166">
        <v>0</v>
      </c>
      <c r="O152" s="1166">
        <v>1588638</v>
      </c>
      <c r="P152" s="1166">
        <v>920004</v>
      </c>
      <c r="Q152" s="1166">
        <v>1340416</v>
      </c>
      <c r="R152" s="1166">
        <v>7113487</v>
      </c>
      <c r="S152" s="1166">
        <v>6887141</v>
      </c>
      <c r="T152" s="1166">
        <v>15502758</v>
      </c>
      <c r="U152" s="1166">
        <v>0</v>
      </c>
      <c r="V152" s="1166">
        <v>39759874</v>
      </c>
      <c r="W152" s="1166">
        <v>0</v>
      </c>
      <c r="X152" s="1166">
        <v>0</v>
      </c>
      <c r="Y152" s="1166">
        <v>40635</v>
      </c>
      <c r="Z152" s="1166">
        <v>2556321</v>
      </c>
      <c r="AA152" s="1166">
        <v>1862572</v>
      </c>
      <c r="AB152" s="1166">
        <v>393885</v>
      </c>
      <c r="AC152" s="1166">
        <v>0</v>
      </c>
      <c r="AD152" s="1166">
        <v>57038</v>
      </c>
      <c r="AE152" s="1166">
        <v>1547441</v>
      </c>
      <c r="AF152" s="1166">
        <v>1591829</v>
      </c>
      <c r="AG152" s="1166">
        <v>52632</v>
      </c>
      <c r="AH152" s="1166">
        <v>66643</v>
      </c>
      <c r="AI152" s="1166">
        <v>0</v>
      </c>
      <c r="AJ152" s="1166">
        <v>825486</v>
      </c>
      <c r="AK152" s="1166">
        <v>7823919</v>
      </c>
      <c r="AL152" s="1166">
        <v>301569</v>
      </c>
      <c r="AM152" s="1166">
        <v>0</v>
      </c>
      <c r="AN152" s="1166">
        <v>19027482</v>
      </c>
      <c r="AO152" s="1166">
        <v>9218620</v>
      </c>
      <c r="AP152" s="1166">
        <v>79539</v>
      </c>
      <c r="AQ152" s="1166">
        <v>0</v>
      </c>
      <c r="AR152" s="1166">
        <v>39142031</v>
      </c>
      <c r="AS152" s="1166">
        <v>1159459</v>
      </c>
      <c r="AT152" s="1166">
        <v>226559</v>
      </c>
      <c r="AU152" s="1166">
        <v>1378755</v>
      </c>
      <c r="AV152" s="1166">
        <v>10759649</v>
      </c>
      <c r="AW152" s="1166">
        <v>1102695</v>
      </c>
      <c r="AX152" s="1166">
        <v>705565</v>
      </c>
      <c r="AY152" s="1166">
        <v>956683</v>
      </c>
      <c r="AZ152" s="1166">
        <v>797331</v>
      </c>
      <c r="BA152" s="1166">
        <v>2917155</v>
      </c>
      <c r="BB152" s="1166">
        <v>1587</v>
      </c>
      <c r="BC152" s="1166">
        <v>592119</v>
      </c>
      <c r="BD152" s="1166">
        <v>0</v>
      </c>
      <c r="BE152" s="1166">
        <v>0</v>
      </c>
      <c r="BF152" s="1166">
        <v>6697683</v>
      </c>
      <c r="BG152" s="1166">
        <v>0</v>
      </c>
      <c r="BH152" s="1166">
        <v>0</v>
      </c>
      <c r="BI152" s="1166">
        <v>629957</v>
      </c>
      <c r="BJ152" s="1166">
        <v>1950576</v>
      </c>
      <c r="BK152" s="1166">
        <v>0</v>
      </c>
      <c r="BL152" s="1166">
        <v>7223410</v>
      </c>
      <c r="BM152" s="1166">
        <v>2736585</v>
      </c>
      <c r="BN152" s="1166">
        <v>0</v>
      </c>
      <c r="BO152" s="1166">
        <v>1676370</v>
      </c>
      <c r="BP152" s="1166">
        <v>3215759</v>
      </c>
      <c r="BQ152" s="1166">
        <v>997878</v>
      </c>
      <c r="BR152" s="1166">
        <v>1748084</v>
      </c>
      <c r="BS152" s="1166">
        <v>0</v>
      </c>
      <c r="BT152" s="1166">
        <v>0</v>
      </c>
      <c r="BU152" s="1166">
        <v>1039729</v>
      </c>
      <c r="BV152" s="1166">
        <v>1684666</v>
      </c>
      <c r="BW152" s="1166">
        <v>170669</v>
      </c>
      <c r="BX152" s="1166">
        <v>1208339</v>
      </c>
      <c r="BY152" s="1166">
        <v>0</v>
      </c>
      <c r="BZ152" s="1166">
        <v>0</v>
      </c>
      <c r="CA152" s="1166">
        <v>7586901</v>
      </c>
      <c r="CB152" s="1166">
        <v>0</v>
      </c>
    </row>
    <row r="153" spans="1:80" s="1156" customFormat="1" x14ac:dyDescent="0.3">
      <c r="A153" s="1161">
        <v>503</v>
      </c>
      <c r="B153" s="1162">
        <v>503</v>
      </c>
      <c r="C153" s="1163" t="s">
        <v>187</v>
      </c>
      <c r="D153" s="1154" t="s">
        <v>470</v>
      </c>
      <c r="E153" s="1164">
        <v>0</v>
      </c>
      <c r="F153" s="1165">
        <v>0</v>
      </c>
      <c r="G153" s="1165">
        <v>0</v>
      </c>
      <c r="H153" s="1165">
        <v>1833121</v>
      </c>
      <c r="I153" s="1165">
        <v>2378581</v>
      </c>
      <c r="J153" s="1165">
        <v>26586</v>
      </c>
      <c r="K153" s="1165">
        <v>72465</v>
      </c>
      <c r="L153" s="1166">
        <v>16971</v>
      </c>
      <c r="M153" s="1166">
        <v>5500069</v>
      </c>
      <c r="N153" s="1166">
        <v>0</v>
      </c>
      <c r="O153" s="1166">
        <v>147750</v>
      </c>
      <c r="P153" s="1166">
        <v>65650</v>
      </c>
      <c r="Q153" s="1166">
        <v>0</v>
      </c>
      <c r="R153" s="1166">
        <v>1005733</v>
      </c>
      <c r="S153" s="1166">
        <v>437246</v>
      </c>
      <c r="T153" s="1166">
        <v>287842</v>
      </c>
      <c r="U153" s="1166">
        <v>0</v>
      </c>
      <c r="V153" s="1166">
        <v>1729520</v>
      </c>
      <c r="W153" s="1166">
        <v>0</v>
      </c>
      <c r="X153" s="1166">
        <v>0</v>
      </c>
      <c r="Y153" s="1166">
        <v>0</v>
      </c>
      <c r="Z153" s="1166">
        <v>175540</v>
      </c>
      <c r="AA153" s="1166">
        <v>238091</v>
      </c>
      <c r="AB153" s="1166">
        <v>0</v>
      </c>
      <c r="AC153" s="1166">
        <v>0</v>
      </c>
      <c r="AD153" s="1166">
        <v>0</v>
      </c>
      <c r="AE153" s="1166">
        <v>34328</v>
      </c>
      <c r="AF153" s="1166">
        <v>142938</v>
      </c>
      <c r="AG153" s="1166">
        <v>5900</v>
      </c>
      <c r="AH153" s="1166">
        <v>5594</v>
      </c>
      <c r="AI153" s="1166">
        <v>0</v>
      </c>
      <c r="AJ153" s="1166">
        <v>3045</v>
      </c>
      <c r="AK153" s="1166">
        <v>891615</v>
      </c>
      <c r="AL153" s="1166">
        <v>13350</v>
      </c>
      <c r="AM153" s="1166">
        <v>0</v>
      </c>
      <c r="AN153" s="1166">
        <v>1735182</v>
      </c>
      <c r="AO153" s="1166">
        <v>167885</v>
      </c>
      <c r="AP153" s="1166">
        <v>10650</v>
      </c>
      <c r="AQ153" s="1166">
        <v>0</v>
      </c>
      <c r="AR153" s="1166">
        <v>819472</v>
      </c>
      <c r="AS153" s="1166">
        <v>47155</v>
      </c>
      <c r="AT153" s="1166">
        <v>24561</v>
      </c>
      <c r="AU153" s="1166">
        <v>139220</v>
      </c>
      <c r="AV153" s="1166">
        <v>408412</v>
      </c>
      <c r="AW153" s="1166">
        <v>49900</v>
      </c>
      <c r="AX153" s="1166">
        <v>24897</v>
      </c>
      <c r="AY153" s="1166">
        <v>98840</v>
      </c>
      <c r="AZ153" s="1166">
        <v>73103</v>
      </c>
      <c r="BA153" s="1166">
        <v>475269</v>
      </c>
      <c r="BB153" s="1166">
        <v>0</v>
      </c>
      <c r="BC153" s="1166">
        <v>89518</v>
      </c>
      <c r="BD153" s="1166">
        <v>0</v>
      </c>
      <c r="BE153" s="1166">
        <v>0</v>
      </c>
      <c r="BF153" s="1166">
        <v>1660930</v>
      </c>
      <c r="BG153" s="1166">
        <v>0</v>
      </c>
      <c r="BH153" s="1166">
        <v>0</v>
      </c>
      <c r="BI153" s="1166">
        <v>41630</v>
      </c>
      <c r="BJ153" s="1166">
        <v>0</v>
      </c>
      <c r="BK153" s="1166">
        <v>58854</v>
      </c>
      <c r="BL153" s="1166">
        <v>165493</v>
      </c>
      <c r="BM153" s="1166">
        <v>183172</v>
      </c>
      <c r="BN153" s="1166">
        <v>0</v>
      </c>
      <c r="BO153" s="1166">
        <v>248740</v>
      </c>
      <c r="BP153" s="1166">
        <v>320529</v>
      </c>
      <c r="BQ153" s="1166">
        <v>39450</v>
      </c>
      <c r="BR153" s="1166">
        <v>64381</v>
      </c>
      <c r="BS153" s="1166">
        <v>0</v>
      </c>
      <c r="BT153" s="1166">
        <v>0</v>
      </c>
      <c r="BU153" s="1166">
        <v>0</v>
      </c>
      <c r="BV153" s="1166">
        <v>79520</v>
      </c>
      <c r="BW153" s="1166">
        <v>42761</v>
      </c>
      <c r="BX153" s="1166">
        <v>26655</v>
      </c>
      <c r="BY153" s="1166">
        <v>0</v>
      </c>
      <c r="BZ153" s="1166">
        <v>0</v>
      </c>
      <c r="CA153" s="1166">
        <v>1573791</v>
      </c>
      <c r="CB153" s="1166">
        <v>0</v>
      </c>
    </row>
    <row r="154" spans="1:80" s="1156" customFormat="1" x14ac:dyDescent="0.3">
      <c r="A154" s="1161">
        <v>504</v>
      </c>
      <c r="B154" s="1162">
        <v>504</v>
      </c>
      <c r="C154" s="1163" t="s">
        <v>191</v>
      </c>
      <c r="D154" s="1154" t="s">
        <v>471</v>
      </c>
      <c r="E154" s="1164">
        <v>108839</v>
      </c>
      <c r="F154" s="1165">
        <v>869891</v>
      </c>
      <c r="G154" s="1165">
        <v>0</v>
      </c>
      <c r="H154" s="1165">
        <v>6729599</v>
      </c>
      <c r="I154" s="1165">
        <v>171781</v>
      </c>
      <c r="J154" s="1165">
        <v>17064</v>
      </c>
      <c r="K154" s="1165">
        <v>57405</v>
      </c>
      <c r="L154" s="1166">
        <v>72655</v>
      </c>
      <c r="M154" s="1166">
        <v>855713</v>
      </c>
      <c r="N154" s="1166">
        <v>8189</v>
      </c>
      <c r="O154" s="1166">
        <v>32047</v>
      </c>
      <c r="P154" s="1166">
        <v>179383</v>
      </c>
      <c r="Q154" s="1166">
        <v>1957603</v>
      </c>
      <c r="R154" s="1166">
        <v>62841</v>
      </c>
      <c r="S154" s="1166">
        <v>1328648</v>
      </c>
      <c r="T154" s="1166">
        <v>902450</v>
      </c>
      <c r="U154" s="1166">
        <v>0</v>
      </c>
      <c r="V154" s="1166">
        <v>829991</v>
      </c>
      <c r="W154" s="1166">
        <v>6606</v>
      </c>
      <c r="X154" s="1166">
        <v>394204</v>
      </c>
      <c r="Y154" s="1166">
        <v>234376</v>
      </c>
      <c r="Z154" s="1166">
        <v>366039</v>
      </c>
      <c r="AA154" s="1166">
        <v>120328</v>
      </c>
      <c r="AB154" s="1166">
        <v>719789</v>
      </c>
      <c r="AC154" s="1166">
        <v>101231</v>
      </c>
      <c r="AD154" s="1166">
        <v>0</v>
      </c>
      <c r="AE154" s="1166">
        <v>130349</v>
      </c>
      <c r="AF154" s="1166">
        <v>230284</v>
      </c>
      <c r="AG154" s="1166">
        <v>65744</v>
      </c>
      <c r="AH154" s="1166">
        <v>3798</v>
      </c>
      <c r="AI154" s="1166">
        <v>14934</v>
      </c>
      <c r="AJ154" s="1166">
        <v>120619</v>
      </c>
      <c r="AK154" s="1166">
        <v>451732</v>
      </c>
      <c r="AL154" s="1166">
        <v>105273</v>
      </c>
      <c r="AM154" s="1166">
        <v>0</v>
      </c>
      <c r="AN154" s="1166">
        <v>351197</v>
      </c>
      <c r="AO154" s="1166">
        <v>2707039</v>
      </c>
      <c r="AP154" s="1166">
        <v>92440</v>
      </c>
      <c r="AQ154" s="1166">
        <v>500300</v>
      </c>
      <c r="AR154" s="1166">
        <v>1246636</v>
      </c>
      <c r="AS154" s="1166">
        <v>106597</v>
      </c>
      <c r="AT154" s="1166">
        <v>23681</v>
      </c>
      <c r="AU154" s="1166">
        <v>303556</v>
      </c>
      <c r="AV154" s="1166">
        <v>1458602</v>
      </c>
      <c r="AW154" s="1166">
        <v>4932</v>
      </c>
      <c r="AX154" s="1166">
        <v>22898</v>
      </c>
      <c r="AY154" s="1166">
        <v>144634</v>
      </c>
      <c r="AZ154" s="1166">
        <v>495383</v>
      </c>
      <c r="BA154" s="1166">
        <v>599793</v>
      </c>
      <c r="BB154" s="1166">
        <v>12409</v>
      </c>
      <c r="BC154" s="1166">
        <v>180688</v>
      </c>
      <c r="BD154" s="1166">
        <v>0</v>
      </c>
      <c r="BE154" s="1166">
        <v>3889</v>
      </c>
      <c r="BF154" s="1166">
        <v>1435006</v>
      </c>
      <c r="BG154" s="1166">
        <v>0</v>
      </c>
      <c r="BH154" s="1166">
        <v>4659</v>
      </c>
      <c r="BI154" s="1166">
        <v>184214</v>
      </c>
      <c r="BJ154" s="1166">
        <v>241030</v>
      </c>
      <c r="BK154" s="1166">
        <v>34469</v>
      </c>
      <c r="BL154" s="1166">
        <v>529202</v>
      </c>
      <c r="BM154" s="1166">
        <v>148850</v>
      </c>
      <c r="BN154" s="1166">
        <v>0</v>
      </c>
      <c r="BO154" s="1166">
        <v>985998</v>
      </c>
      <c r="BP154" s="1166">
        <v>131344</v>
      </c>
      <c r="BQ154" s="1166">
        <v>126074</v>
      </c>
      <c r="BR154" s="1166">
        <v>68368</v>
      </c>
      <c r="BS154" s="1166">
        <v>141345</v>
      </c>
      <c r="BT154" s="1166">
        <v>1272607</v>
      </c>
      <c r="BU154" s="1166">
        <v>137163</v>
      </c>
      <c r="BV154" s="1166">
        <v>192159</v>
      </c>
      <c r="BW154" s="1166">
        <v>702723</v>
      </c>
      <c r="BX154" s="1166">
        <v>19153</v>
      </c>
      <c r="BY154" s="1166">
        <v>3681</v>
      </c>
      <c r="BZ154" s="1166">
        <v>4502</v>
      </c>
      <c r="CA154" s="1166">
        <v>957002</v>
      </c>
      <c r="CB154" s="1166">
        <v>6359</v>
      </c>
    </row>
    <row r="155" spans="1:80" s="1156" customFormat="1" x14ac:dyDescent="0.3">
      <c r="A155" s="1161">
        <v>505</v>
      </c>
      <c r="B155" s="1162">
        <v>505</v>
      </c>
      <c r="C155" s="1163" t="s">
        <v>192</v>
      </c>
      <c r="D155" s="1154" t="s">
        <v>472</v>
      </c>
      <c r="E155" s="1164">
        <v>7418438</v>
      </c>
      <c r="F155" s="1165">
        <v>7205750</v>
      </c>
      <c r="G155" s="1165">
        <v>0</v>
      </c>
      <c r="H155" s="1165">
        <v>1869466</v>
      </c>
      <c r="I155" s="1165">
        <v>2448792</v>
      </c>
      <c r="J155" s="1165">
        <v>0</v>
      </c>
      <c r="K155" s="1165">
        <v>0</v>
      </c>
      <c r="L155" s="1166">
        <v>0</v>
      </c>
      <c r="M155" s="1166">
        <v>7040399</v>
      </c>
      <c r="N155" s="1166">
        <v>0</v>
      </c>
      <c r="O155" s="1166">
        <v>0</v>
      </c>
      <c r="P155" s="1166">
        <v>0</v>
      </c>
      <c r="Q155" s="1166">
        <v>170205</v>
      </c>
      <c r="R155" s="1166">
        <v>467571</v>
      </c>
      <c r="S155" s="1166">
        <v>292917</v>
      </c>
      <c r="T155" s="1166">
        <v>0</v>
      </c>
      <c r="U155" s="1166">
        <v>0</v>
      </c>
      <c r="V155" s="1166">
        <v>0</v>
      </c>
      <c r="W155" s="1166">
        <v>0</v>
      </c>
      <c r="X155" s="1166">
        <v>1310853</v>
      </c>
      <c r="Y155" s="1166">
        <v>8320639</v>
      </c>
      <c r="Z155" s="1166">
        <v>27378</v>
      </c>
      <c r="AA155" s="1166">
        <v>0</v>
      </c>
      <c r="AB155" s="1166">
        <v>88068</v>
      </c>
      <c r="AC155" s="1166">
        <v>0</v>
      </c>
      <c r="AD155" s="1166">
        <v>8417</v>
      </c>
      <c r="AE155" s="1166">
        <v>0</v>
      </c>
      <c r="AF155" s="1166">
        <v>0</v>
      </c>
      <c r="AG155" s="1166">
        <v>0</v>
      </c>
      <c r="AH155" s="1166">
        <v>0</v>
      </c>
      <c r="AI155" s="1166">
        <v>0</v>
      </c>
      <c r="AJ155" s="1166">
        <v>52600</v>
      </c>
      <c r="AK155" s="1166">
        <v>0</v>
      </c>
      <c r="AL155" s="1166">
        <v>0</v>
      </c>
      <c r="AM155" s="1166">
        <v>0</v>
      </c>
      <c r="AN155" s="1166">
        <v>548480</v>
      </c>
      <c r="AO155" s="1166">
        <v>50924</v>
      </c>
      <c r="AP155" s="1166">
        <v>0</v>
      </c>
      <c r="AQ155" s="1166">
        <v>178339</v>
      </c>
      <c r="AR155" s="1166">
        <v>0</v>
      </c>
      <c r="AS155" s="1166">
        <v>1014</v>
      </c>
      <c r="AT155" s="1166">
        <v>38838</v>
      </c>
      <c r="AU155" s="1166">
        <v>191161</v>
      </c>
      <c r="AV155" s="1166">
        <v>0</v>
      </c>
      <c r="AW155" s="1166">
        <v>29257</v>
      </c>
      <c r="AX155" s="1166">
        <v>161000</v>
      </c>
      <c r="AY155" s="1166">
        <v>2551645</v>
      </c>
      <c r="AZ155" s="1166">
        <v>0</v>
      </c>
      <c r="BA155" s="1166">
        <v>185653</v>
      </c>
      <c r="BB155" s="1166">
        <v>0</v>
      </c>
      <c r="BC155" s="1166">
        <v>0</v>
      </c>
      <c r="BD155" s="1166">
        <v>0</v>
      </c>
      <c r="BE155" s="1166">
        <v>0</v>
      </c>
      <c r="BF155" s="1166">
        <v>3510210</v>
      </c>
      <c r="BG155" s="1166">
        <v>0</v>
      </c>
      <c r="BH155" s="1166">
        <v>0</v>
      </c>
      <c r="BI155" s="1166">
        <v>114250</v>
      </c>
      <c r="BJ155" s="1166">
        <v>0</v>
      </c>
      <c r="BK155" s="1166">
        <v>0</v>
      </c>
      <c r="BL155" s="1166">
        <v>0</v>
      </c>
      <c r="BM155" s="1166">
        <v>0</v>
      </c>
      <c r="BN155" s="1166">
        <v>0</v>
      </c>
      <c r="BO155" s="1166">
        <v>114590</v>
      </c>
      <c r="BP155" s="1166">
        <v>0</v>
      </c>
      <c r="BQ155" s="1166">
        <v>0</v>
      </c>
      <c r="BR155" s="1166">
        <v>0</v>
      </c>
      <c r="BS155" s="1166">
        <v>4877606</v>
      </c>
      <c r="BT155" s="1166">
        <v>650820</v>
      </c>
      <c r="BU155" s="1166">
        <v>0</v>
      </c>
      <c r="BV155" s="1166">
        <v>88500</v>
      </c>
      <c r="BW155" s="1166">
        <v>0</v>
      </c>
      <c r="BX155" s="1166">
        <v>347530</v>
      </c>
      <c r="BY155" s="1166">
        <v>0</v>
      </c>
      <c r="BZ155" s="1166">
        <v>0</v>
      </c>
      <c r="CA155" s="1166">
        <v>3927560</v>
      </c>
      <c r="CB155" s="1166">
        <v>0</v>
      </c>
    </row>
    <row r="156" spans="1:80" s="1156" customFormat="1" x14ac:dyDescent="0.3">
      <c r="A156" s="1161">
        <v>506</v>
      </c>
      <c r="B156" s="1162">
        <v>506</v>
      </c>
      <c r="C156" s="1163" t="s">
        <v>198</v>
      </c>
      <c r="D156" s="1154" t="s">
        <v>473</v>
      </c>
      <c r="E156" s="1164">
        <v>475882</v>
      </c>
      <c r="F156" s="1165">
        <v>20003004</v>
      </c>
      <c r="G156" s="1165">
        <v>0</v>
      </c>
      <c r="H156" s="1165">
        <v>29479471</v>
      </c>
      <c r="I156" s="1165">
        <v>2213630</v>
      </c>
      <c r="J156" s="1165">
        <v>435284</v>
      </c>
      <c r="K156" s="1165">
        <v>2474119</v>
      </c>
      <c r="L156" s="1166">
        <v>1005389</v>
      </c>
      <c r="M156" s="1166">
        <v>19565248</v>
      </c>
      <c r="N156" s="1166">
        <v>213404</v>
      </c>
      <c r="O156" s="1166">
        <v>580142</v>
      </c>
      <c r="P156" s="1166">
        <v>514646</v>
      </c>
      <c r="Q156" s="1166">
        <v>13931970</v>
      </c>
      <c r="R156" s="1166">
        <v>14536882</v>
      </c>
      <c r="S156" s="1166">
        <v>2581396</v>
      </c>
      <c r="T156" s="1166">
        <v>8554304</v>
      </c>
      <c r="U156" s="1166">
        <v>0</v>
      </c>
      <c r="V156" s="1166">
        <v>6433800</v>
      </c>
      <c r="W156" s="1166">
        <v>164476</v>
      </c>
      <c r="X156" s="1166">
        <v>8842544</v>
      </c>
      <c r="Y156" s="1166">
        <v>6178450</v>
      </c>
      <c r="Z156" s="1166">
        <v>4513196</v>
      </c>
      <c r="AA156" s="1166">
        <v>1761950</v>
      </c>
      <c r="AB156" s="1166">
        <v>3492086</v>
      </c>
      <c r="AC156" s="1166">
        <v>1143445</v>
      </c>
      <c r="AD156" s="1166">
        <v>242840</v>
      </c>
      <c r="AE156" s="1166">
        <v>1189474</v>
      </c>
      <c r="AF156" s="1166">
        <v>1119686</v>
      </c>
      <c r="AG156" s="1166">
        <v>72647</v>
      </c>
      <c r="AH156" s="1166">
        <v>66642</v>
      </c>
      <c r="AI156" s="1166">
        <v>132635</v>
      </c>
      <c r="AJ156" s="1166">
        <v>2051714</v>
      </c>
      <c r="AK156" s="1166">
        <v>2117261</v>
      </c>
      <c r="AL156" s="1166">
        <v>286065</v>
      </c>
      <c r="AM156" s="1166">
        <v>115367</v>
      </c>
      <c r="AN156" s="1166">
        <v>7968732</v>
      </c>
      <c r="AO156" s="1166">
        <v>10826902</v>
      </c>
      <c r="AP156" s="1166">
        <v>590613</v>
      </c>
      <c r="AQ156" s="1166">
        <v>7007841</v>
      </c>
      <c r="AR156" s="1166">
        <v>11212947</v>
      </c>
      <c r="AS156" s="1166">
        <v>2442098</v>
      </c>
      <c r="AT156" s="1166">
        <v>421010</v>
      </c>
      <c r="AU156" s="1166">
        <v>2367539</v>
      </c>
      <c r="AV156" s="1166">
        <v>5805328</v>
      </c>
      <c r="AW156" s="1166">
        <v>194604</v>
      </c>
      <c r="AX156" s="1166">
        <v>345508</v>
      </c>
      <c r="AY156" s="1166">
        <v>3116042</v>
      </c>
      <c r="AZ156" s="1166">
        <v>2182287</v>
      </c>
      <c r="BA156" s="1166">
        <v>1495820</v>
      </c>
      <c r="BB156" s="1166">
        <v>70512</v>
      </c>
      <c r="BC156" s="1166">
        <v>1298800</v>
      </c>
      <c r="BD156" s="1166">
        <v>0</v>
      </c>
      <c r="BE156" s="1166">
        <v>383912</v>
      </c>
      <c r="BF156" s="1166">
        <v>2964871</v>
      </c>
      <c r="BG156" s="1166">
        <v>0</v>
      </c>
      <c r="BH156" s="1166">
        <v>154205</v>
      </c>
      <c r="BI156" s="1166">
        <v>2725801</v>
      </c>
      <c r="BJ156" s="1166">
        <v>3433068</v>
      </c>
      <c r="BK156" s="1166">
        <v>333201</v>
      </c>
      <c r="BL156" s="1166">
        <v>2696052</v>
      </c>
      <c r="BM156" s="1166">
        <v>5760391</v>
      </c>
      <c r="BN156" s="1166">
        <v>136189</v>
      </c>
      <c r="BO156" s="1166">
        <v>3443225</v>
      </c>
      <c r="BP156" s="1166">
        <v>3495951</v>
      </c>
      <c r="BQ156" s="1166">
        <v>1469511</v>
      </c>
      <c r="BR156" s="1166">
        <v>2534166</v>
      </c>
      <c r="BS156" s="1166">
        <v>2046076</v>
      </c>
      <c r="BT156" s="1166">
        <v>11231747</v>
      </c>
      <c r="BU156" s="1166">
        <v>2184911</v>
      </c>
      <c r="BV156" s="1166">
        <v>1570453</v>
      </c>
      <c r="BW156" s="1166">
        <v>957606</v>
      </c>
      <c r="BX156" s="1166">
        <v>1108232</v>
      </c>
      <c r="BY156" s="1166">
        <v>165153</v>
      </c>
      <c r="BZ156" s="1166">
        <v>192770</v>
      </c>
      <c r="CA156" s="1166">
        <v>13311576</v>
      </c>
      <c r="CB156" s="1166">
        <v>89620</v>
      </c>
    </row>
    <row r="157" spans="1:80" s="1156" customFormat="1" x14ac:dyDescent="0.3">
      <c r="A157" s="1161">
        <v>507</v>
      </c>
      <c r="B157" s="1162">
        <v>507</v>
      </c>
      <c r="C157" s="1163" t="s">
        <v>216</v>
      </c>
      <c r="D157" s="1154" t="s">
        <v>474</v>
      </c>
      <c r="E157" s="1164">
        <v>0</v>
      </c>
      <c r="F157" s="1165">
        <v>0</v>
      </c>
      <c r="G157" s="1165">
        <v>0</v>
      </c>
      <c r="H157" s="1165">
        <v>0</v>
      </c>
      <c r="I157" s="1165">
        <v>2373</v>
      </c>
      <c r="J157" s="1165">
        <v>0</v>
      </c>
      <c r="K157" s="1165">
        <v>0</v>
      </c>
      <c r="L157" s="1166">
        <v>0</v>
      </c>
      <c r="M157" s="1166">
        <v>0</v>
      </c>
      <c r="N157" s="1166">
        <v>0</v>
      </c>
      <c r="O157" s="1166">
        <v>0</v>
      </c>
      <c r="P157" s="1166">
        <v>0</v>
      </c>
      <c r="Q157" s="1166">
        <v>0</v>
      </c>
      <c r="R157" s="1166">
        <v>0</v>
      </c>
      <c r="S157" s="1166">
        <v>0</v>
      </c>
      <c r="T157" s="1166">
        <v>0</v>
      </c>
      <c r="U157" s="1166">
        <v>0</v>
      </c>
      <c r="V157" s="1166">
        <v>0</v>
      </c>
      <c r="W157" s="1166">
        <v>0</v>
      </c>
      <c r="X157" s="1166">
        <v>0</v>
      </c>
      <c r="Y157" s="1166">
        <v>0</v>
      </c>
      <c r="Z157" s="1166">
        <v>0</v>
      </c>
      <c r="AA157" s="1166">
        <v>-5388</v>
      </c>
      <c r="AB157" s="1166">
        <v>0</v>
      </c>
      <c r="AC157" s="1166">
        <v>0</v>
      </c>
      <c r="AD157" s="1166">
        <v>0</v>
      </c>
      <c r="AE157" s="1166">
        <v>0</v>
      </c>
      <c r="AF157" s="1166">
        <v>2</v>
      </c>
      <c r="AG157" s="1166">
        <v>0</v>
      </c>
      <c r="AH157" s="1166">
        <v>-1</v>
      </c>
      <c r="AI157" s="1166">
        <v>0</v>
      </c>
      <c r="AJ157" s="1166">
        <v>0</v>
      </c>
      <c r="AK157" s="1166">
        <v>0</v>
      </c>
      <c r="AL157" s="1166">
        <v>0</v>
      </c>
      <c r="AM157" s="1166">
        <v>0</v>
      </c>
      <c r="AN157" s="1166">
        <v>0</v>
      </c>
      <c r="AO157" s="1166">
        <v>0</v>
      </c>
      <c r="AP157" s="1166">
        <v>0</v>
      </c>
      <c r="AQ157" s="1166">
        <v>0</v>
      </c>
      <c r="AR157" s="1166">
        <v>0</v>
      </c>
      <c r="AS157" s="1166">
        <v>0</v>
      </c>
      <c r="AT157" s="1166">
        <v>0</v>
      </c>
      <c r="AU157" s="1166">
        <v>0</v>
      </c>
      <c r="AV157" s="1166">
        <v>0</v>
      </c>
      <c r="AW157" s="1166">
        <v>4553</v>
      </c>
      <c r="AX157" s="1166">
        <v>74221</v>
      </c>
      <c r="AY157" s="1166">
        <v>0</v>
      </c>
      <c r="AZ157" s="1166">
        <v>0</v>
      </c>
      <c r="BA157" s="1166">
        <v>0</v>
      </c>
      <c r="BB157" s="1166">
        <v>1</v>
      </c>
      <c r="BC157" s="1166">
        <v>0</v>
      </c>
      <c r="BD157" s="1166">
        <v>0</v>
      </c>
      <c r="BE157" s="1166">
        <v>0</v>
      </c>
      <c r="BF157" s="1166">
        <v>26222</v>
      </c>
      <c r="BG157" s="1166">
        <v>0</v>
      </c>
      <c r="BH157" s="1166">
        <v>0</v>
      </c>
      <c r="BI157" s="1166">
        <v>0</v>
      </c>
      <c r="BJ157" s="1166">
        <v>0</v>
      </c>
      <c r="BK157" s="1166">
        <v>661698</v>
      </c>
      <c r="BL157" s="1166">
        <v>0</v>
      </c>
      <c r="BM157" s="1166">
        <v>0</v>
      </c>
      <c r="BN157" s="1166">
        <v>0</v>
      </c>
      <c r="BO157" s="1166">
        <v>0</v>
      </c>
      <c r="BP157" s="1166">
        <v>0</v>
      </c>
      <c r="BQ157" s="1166">
        <v>0</v>
      </c>
      <c r="BR157" s="1166">
        <v>1</v>
      </c>
      <c r="BS157" s="1166">
        <v>0</v>
      </c>
      <c r="BT157" s="1166">
        <v>0</v>
      </c>
      <c r="BU157" s="1166">
        <v>0</v>
      </c>
      <c r="BV157" s="1166">
        <v>0</v>
      </c>
      <c r="BW157" s="1166">
        <v>-450000</v>
      </c>
      <c r="BX157" s="1166">
        <v>0</v>
      </c>
      <c r="BY157" s="1166">
        <v>0</v>
      </c>
      <c r="BZ157" s="1166">
        <v>0</v>
      </c>
      <c r="CA157" s="1166">
        <v>0</v>
      </c>
      <c r="CB157" s="1166">
        <v>0</v>
      </c>
    </row>
    <row r="158" spans="1:80" s="1156" customFormat="1" x14ac:dyDescent="0.3">
      <c r="A158" s="1161">
        <v>508</v>
      </c>
      <c r="B158" s="1162">
        <v>508</v>
      </c>
      <c r="C158" s="1163" t="s">
        <v>213</v>
      </c>
      <c r="D158" s="1154" t="s">
        <v>475</v>
      </c>
      <c r="E158" s="1164">
        <v>0</v>
      </c>
      <c r="F158" s="1165">
        <v>0</v>
      </c>
      <c r="G158" s="1165">
        <v>0</v>
      </c>
      <c r="H158" s="1165">
        <v>0</v>
      </c>
      <c r="I158" s="1165">
        <v>0</v>
      </c>
      <c r="J158" s="1165">
        <v>0</v>
      </c>
      <c r="K158" s="1165">
        <v>0</v>
      </c>
      <c r="L158" s="1166">
        <v>0</v>
      </c>
      <c r="M158" s="1166">
        <v>0</v>
      </c>
      <c r="N158" s="1166">
        <v>0</v>
      </c>
      <c r="O158" s="1166">
        <v>0</v>
      </c>
      <c r="P158" s="1166">
        <v>0</v>
      </c>
      <c r="Q158" s="1166">
        <v>0</v>
      </c>
      <c r="R158" s="1166">
        <v>0</v>
      </c>
      <c r="S158" s="1166">
        <v>0</v>
      </c>
      <c r="T158" s="1166">
        <v>0</v>
      </c>
      <c r="U158" s="1166">
        <v>0</v>
      </c>
      <c r="V158" s="1166">
        <v>0</v>
      </c>
      <c r="W158" s="1166">
        <v>0</v>
      </c>
      <c r="X158" s="1166">
        <v>0</v>
      </c>
      <c r="Y158" s="1166">
        <v>0</v>
      </c>
      <c r="Z158" s="1166">
        <v>0</v>
      </c>
      <c r="AA158" s="1166">
        <v>0</v>
      </c>
      <c r="AB158" s="1166">
        <v>0</v>
      </c>
      <c r="AC158" s="1166">
        <v>0</v>
      </c>
      <c r="AD158" s="1166">
        <v>0</v>
      </c>
      <c r="AE158" s="1166">
        <v>0</v>
      </c>
      <c r="AF158" s="1166">
        <v>0</v>
      </c>
      <c r="AG158" s="1166">
        <v>0</v>
      </c>
      <c r="AH158" s="1166">
        <v>0</v>
      </c>
      <c r="AI158" s="1166">
        <v>0</v>
      </c>
      <c r="AJ158" s="1166">
        <v>0</v>
      </c>
      <c r="AK158" s="1166">
        <v>0</v>
      </c>
      <c r="AL158" s="1166">
        <v>0</v>
      </c>
      <c r="AM158" s="1166">
        <v>0</v>
      </c>
      <c r="AN158" s="1166">
        <v>0</v>
      </c>
      <c r="AO158" s="1166">
        <v>0</v>
      </c>
      <c r="AP158" s="1166">
        <v>0</v>
      </c>
      <c r="AQ158" s="1166">
        <v>0</v>
      </c>
      <c r="AR158" s="1166">
        <v>0</v>
      </c>
      <c r="AS158" s="1166">
        <v>0</v>
      </c>
      <c r="AT158" s="1166">
        <v>0</v>
      </c>
      <c r="AU158" s="1166">
        <v>0</v>
      </c>
      <c r="AV158" s="1166">
        <v>0</v>
      </c>
      <c r="AW158" s="1166">
        <v>0</v>
      </c>
      <c r="AX158" s="1166">
        <v>0</v>
      </c>
      <c r="AY158" s="1166">
        <v>0</v>
      </c>
      <c r="AZ158" s="1166">
        <v>0</v>
      </c>
      <c r="BA158" s="1166">
        <v>0</v>
      </c>
      <c r="BB158" s="1166">
        <v>0</v>
      </c>
      <c r="BC158" s="1166">
        <v>0</v>
      </c>
      <c r="BD158" s="1166">
        <v>0</v>
      </c>
      <c r="BE158" s="1166">
        <v>0</v>
      </c>
      <c r="BF158" s="1166">
        <v>0</v>
      </c>
      <c r="BG158" s="1166">
        <v>0</v>
      </c>
      <c r="BH158" s="1166">
        <v>0</v>
      </c>
      <c r="BI158" s="1166">
        <v>0</v>
      </c>
      <c r="BJ158" s="1166">
        <v>0</v>
      </c>
      <c r="BK158" s="1166">
        <v>0</v>
      </c>
      <c r="BL158" s="1166">
        <v>0</v>
      </c>
      <c r="BM158" s="1166">
        <v>0</v>
      </c>
      <c r="BN158" s="1166">
        <v>0</v>
      </c>
      <c r="BO158" s="1166">
        <v>0</v>
      </c>
      <c r="BP158" s="1166">
        <v>0</v>
      </c>
      <c r="BQ158" s="1166">
        <v>0</v>
      </c>
      <c r="BR158" s="1166">
        <v>0</v>
      </c>
      <c r="BS158" s="1166">
        <v>0</v>
      </c>
      <c r="BT158" s="1166">
        <v>0</v>
      </c>
      <c r="BU158" s="1166">
        <v>0</v>
      </c>
      <c r="BV158" s="1166">
        <v>0</v>
      </c>
      <c r="BW158" s="1166">
        <v>0</v>
      </c>
      <c r="BX158" s="1166">
        <v>0</v>
      </c>
      <c r="BY158" s="1166">
        <v>0</v>
      </c>
      <c r="BZ158" s="1166">
        <v>0</v>
      </c>
      <c r="CA158" s="1166">
        <v>0</v>
      </c>
      <c r="CB158" s="1166">
        <v>0</v>
      </c>
    </row>
    <row r="159" spans="1:80" s="1156" customFormat="1" x14ac:dyDescent="0.3">
      <c r="A159" s="1161">
        <v>509</v>
      </c>
      <c r="B159" s="1162">
        <v>509</v>
      </c>
      <c r="C159" s="1163" t="s">
        <v>214</v>
      </c>
      <c r="D159" s="1154" t="s">
        <v>476</v>
      </c>
      <c r="E159" s="1164">
        <v>0</v>
      </c>
      <c r="F159" s="1165">
        <v>0</v>
      </c>
      <c r="G159" s="1165">
        <v>0</v>
      </c>
      <c r="H159" s="1165">
        <v>0</v>
      </c>
      <c r="I159" s="1165">
        <v>0</v>
      </c>
      <c r="J159" s="1165">
        <v>0</v>
      </c>
      <c r="K159" s="1165">
        <v>0</v>
      </c>
      <c r="L159" s="1166">
        <v>0</v>
      </c>
      <c r="M159" s="1166">
        <v>0</v>
      </c>
      <c r="N159" s="1166">
        <v>0</v>
      </c>
      <c r="O159" s="1166">
        <v>0</v>
      </c>
      <c r="P159" s="1166">
        <v>0</v>
      </c>
      <c r="Q159" s="1166">
        <v>0</v>
      </c>
      <c r="R159" s="1166">
        <v>0</v>
      </c>
      <c r="S159" s="1166">
        <v>0</v>
      </c>
      <c r="T159" s="1166">
        <v>0</v>
      </c>
      <c r="U159" s="1166">
        <v>0</v>
      </c>
      <c r="V159" s="1166">
        <v>0</v>
      </c>
      <c r="W159" s="1166">
        <v>0</v>
      </c>
      <c r="X159" s="1166">
        <v>0</v>
      </c>
      <c r="Y159" s="1166">
        <v>0</v>
      </c>
      <c r="Z159" s="1166">
        <v>0</v>
      </c>
      <c r="AA159" s="1166">
        <v>0</v>
      </c>
      <c r="AB159" s="1166">
        <v>0</v>
      </c>
      <c r="AC159" s="1166">
        <v>0</v>
      </c>
      <c r="AD159" s="1166">
        <v>0</v>
      </c>
      <c r="AE159" s="1166">
        <v>0</v>
      </c>
      <c r="AF159" s="1166">
        <v>0</v>
      </c>
      <c r="AG159" s="1166">
        <v>0</v>
      </c>
      <c r="AH159" s="1166">
        <v>0</v>
      </c>
      <c r="AI159" s="1166">
        <v>0</v>
      </c>
      <c r="AJ159" s="1166">
        <v>0</v>
      </c>
      <c r="AK159" s="1166">
        <v>0</v>
      </c>
      <c r="AL159" s="1166">
        <v>0</v>
      </c>
      <c r="AM159" s="1166">
        <v>0</v>
      </c>
      <c r="AN159" s="1166">
        <v>0</v>
      </c>
      <c r="AO159" s="1166">
        <v>0</v>
      </c>
      <c r="AP159" s="1166">
        <v>0</v>
      </c>
      <c r="AQ159" s="1166">
        <v>0</v>
      </c>
      <c r="AR159" s="1166">
        <v>0</v>
      </c>
      <c r="AS159" s="1166">
        <v>0</v>
      </c>
      <c r="AT159" s="1166">
        <v>0</v>
      </c>
      <c r="AU159" s="1166">
        <v>0</v>
      </c>
      <c r="AV159" s="1166">
        <v>0</v>
      </c>
      <c r="AW159" s="1166">
        <v>0</v>
      </c>
      <c r="AX159" s="1166">
        <v>0</v>
      </c>
      <c r="AY159" s="1166">
        <v>0</v>
      </c>
      <c r="AZ159" s="1166">
        <v>0</v>
      </c>
      <c r="BA159" s="1166">
        <v>0</v>
      </c>
      <c r="BB159" s="1166">
        <v>0</v>
      </c>
      <c r="BC159" s="1166">
        <v>0</v>
      </c>
      <c r="BD159" s="1166">
        <v>0</v>
      </c>
      <c r="BE159" s="1166">
        <v>0</v>
      </c>
      <c r="BF159" s="1166">
        <v>0</v>
      </c>
      <c r="BG159" s="1166">
        <v>0</v>
      </c>
      <c r="BH159" s="1166">
        <v>0</v>
      </c>
      <c r="BI159" s="1166">
        <v>0</v>
      </c>
      <c r="BJ159" s="1166">
        <v>0</v>
      </c>
      <c r="BK159" s="1166">
        <v>0</v>
      </c>
      <c r="BL159" s="1166">
        <v>0</v>
      </c>
      <c r="BM159" s="1166">
        <v>0</v>
      </c>
      <c r="BN159" s="1166">
        <v>0</v>
      </c>
      <c r="BO159" s="1166">
        <v>0</v>
      </c>
      <c r="BP159" s="1166">
        <v>0</v>
      </c>
      <c r="BQ159" s="1166">
        <v>0</v>
      </c>
      <c r="BR159" s="1166">
        <v>0</v>
      </c>
      <c r="BS159" s="1166">
        <v>0</v>
      </c>
      <c r="BT159" s="1166">
        <v>0</v>
      </c>
      <c r="BU159" s="1166">
        <v>0</v>
      </c>
      <c r="BV159" s="1166">
        <v>0</v>
      </c>
      <c r="BW159" s="1166">
        <v>0</v>
      </c>
      <c r="BX159" s="1166">
        <v>0</v>
      </c>
      <c r="BY159" s="1166">
        <v>0</v>
      </c>
      <c r="BZ159" s="1166">
        <v>0</v>
      </c>
      <c r="CA159" s="1166">
        <v>0</v>
      </c>
      <c r="CB159" s="1166">
        <v>0</v>
      </c>
    </row>
    <row r="160" spans="1:80" s="1156" customFormat="1" x14ac:dyDescent="0.3">
      <c r="A160" s="1161">
        <v>510</v>
      </c>
      <c r="B160" s="1162">
        <v>510</v>
      </c>
      <c r="C160" s="1163" t="s">
        <v>220</v>
      </c>
      <c r="D160" s="1154" t="s">
        <v>477</v>
      </c>
      <c r="E160" s="1164">
        <v>0</v>
      </c>
      <c r="F160" s="1165">
        <v>0</v>
      </c>
      <c r="G160" s="1165">
        <v>0</v>
      </c>
      <c r="H160" s="1165">
        <v>250752</v>
      </c>
      <c r="I160" s="1165">
        <v>30309</v>
      </c>
      <c r="J160" s="1165">
        <v>0</v>
      </c>
      <c r="K160" s="1165">
        <v>0</v>
      </c>
      <c r="L160" s="1166">
        <v>32188</v>
      </c>
      <c r="M160" s="1166">
        <v>0</v>
      </c>
      <c r="N160" s="1166">
        <v>0</v>
      </c>
      <c r="O160" s="1166">
        <v>0</v>
      </c>
      <c r="P160" s="1166">
        <v>0</v>
      </c>
      <c r="Q160" s="1166">
        <v>0</v>
      </c>
      <c r="R160" s="1166">
        <v>145016</v>
      </c>
      <c r="S160" s="1166">
        <v>0</v>
      </c>
      <c r="T160" s="1166">
        <v>468501</v>
      </c>
      <c r="U160" s="1166">
        <v>0</v>
      </c>
      <c r="V160" s="1166">
        <v>267069</v>
      </c>
      <c r="W160" s="1166">
        <v>0</v>
      </c>
      <c r="X160" s="1166">
        <v>0</v>
      </c>
      <c r="Y160" s="1166">
        <v>0</v>
      </c>
      <c r="Z160" s="1166">
        <v>0</v>
      </c>
      <c r="AA160" s="1166">
        <v>80192</v>
      </c>
      <c r="AB160" s="1166">
        <v>32265</v>
      </c>
      <c r="AC160" s="1166">
        <v>0</v>
      </c>
      <c r="AD160" s="1166">
        <v>0</v>
      </c>
      <c r="AE160" s="1166">
        <v>6304</v>
      </c>
      <c r="AF160" s="1166">
        <v>3907</v>
      </c>
      <c r="AG160" s="1166">
        <v>0</v>
      </c>
      <c r="AH160" s="1166">
        <v>0</v>
      </c>
      <c r="AI160" s="1166">
        <v>0</v>
      </c>
      <c r="AJ160" s="1166">
        <v>0</v>
      </c>
      <c r="AK160" s="1166">
        <v>133966</v>
      </c>
      <c r="AL160" s="1166">
        <v>0</v>
      </c>
      <c r="AM160" s="1166">
        <v>0</v>
      </c>
      <c r="AN160" s="1166">
        <v>0</v>
      </c>
      <c r="AO160" s="1166">
        <v>57422</v>
      </c>
      <c r="AP160" s="1166">
        <v>0</v>
      </c>
      <c r="AQ160" s="1166">
        <v>0</v>
      </c>
      <c r="AR160" s="1166">
        <v>475592</v>
      </c>
      <c r="AS160" s="1166">
        <v>1072</v>
      </c>
      <c r="AT160" s="1166">
        <v>0</v>
      </c>
      <c r="AU160" s="1166">
        <v>30826</v>
      </c>
      <c r="AV160" s="1166">
        <v>75533</v>
      </c>
      <c r="AW160" s="1166">
        <v>0</v>
      </c>
      <c r="AX160" s="1166">
        <v>0</v>
      </c>
      <c r="AY160" s="1166">
        <v>0</v>
      </c>
      <c r="AZ160" s="1166">
        <v>87624</v>
      </c>
      <c r="BA160" s="1166">
        <v>17183</v>
      </c>
      <c r="BB160" s="1166">
        <v>0</v>
      </c>
      <c r="BC160" s="1166">
        <v>28871</v>
      </c>
      <c r="BD160" s="1166">
        <v>0</v>
      </c>
      <c r="BE160" s="1166">
        <v>0</v>
      </c>
      <c r="BF160" s="1166">
        <v>807856</v>
      </c>
      <c r="BG160" s="1166">
        <v>0</v>
      </c>
      <c r="BH160" s="1166">
        <v>0</v>
      </c>
      <c r="BI160" s="1166">
        <v>127752</v>
      </c>
      <c r="BJ160" s="1166">
        <v>1595</v>
      </c>
      <c r="BK160" s="1166">
        <v>0</v>
      </c>
      <c r="BL160" s="1166">
        <v>224738</v>
      </c>
      <c r="BM160" s="1166">
        <v>0</v>
      </c>
      <c r="BN160" s="1166">
        <v>0</v>
      </c>
      <c r="BO160" s="1166">
        <v>68959</v>
      </c>
      <c r="BP160" s="1166">
        <v>72653</v>
      </c>
      <c r="BQ160" s="1166">
        <v>0</v>
      </c>
      <c r="BR160" s="1166">
        <v>72805</v>
      </c>
      <c r="BS160" s="1166">
        <v>0</v>
      </c>
      <c r="BT160" s="1166">
        <v>0</v>
      </c>
      <c r="BU160" s="1166">
        <v>49591</v>
      </c>
      <c r="BV160" s="1166">
        <v>87736</v>
      </c>
      <c r="BW160" s="1166">
        <v>3747</v>
      </c>
      <c r="BX160" s="1166">
        <v>189</v>
      </c>
      <c r="BY160" s="1166">
        <v>0</v>
      </c>
      <c r="BZ160" s="1166">
        <v>0</v>
      </c>
      <c r="CA160" s="1166">
        <v>0</v>
      </c>
      <c r="CB160" s="1166">
        <v>0</v>
      </c>
    </row>
    <row r="161" spans="1:80" s="1156" customFormat="1" x14ac:dyDescent="0.3">
      <c r="A161" s="1161">
        <v>511</v>
      </c>
      <c r="B161" s="1162">
        <v>511</v>
      </c>
      <c r="C161" s="1163" t="s">
        <v>225</v>
      </c>
      <c r="D161" s="1154" t="s">
        <v>478</v>
      </c>
      <c r="E161" s="1164">
        <v>0</v>
      </c>
      <c r="F161" s="1165">
        <v>0</v>
      </c>
      <c r="G161" s="1165">
        <v>0</v>
      </c>
      <c r="H161" s="1165">
        <v>0</v>
      </c>
      <c r="I161" s="1165">
        <v>0</v>
      </c>
      <c r="J161" s="1165">
        <v>0</v>
      </c>
      <c r="K161" s="1165">
        <v>0</v>
      </c>
      <c r="L161" s="1166">
        <v>0</v>
      </c>
      <c r="M161" s="1166">
        <v>0</v>
      </c>
      <c r="N161" s="1166">
        <v>0</v>
      </c>
      <c r="O161" s="1166">
        <v>0</v>
      </c>
      <c r="P161" s="1166">
        <v>0</v>
      </c>
      <c r="Q161" s="1166">
        <v>0</v>
      </c>
      <c r="R161" s="1166">
        <v>0</v>
      </c>
      <c r="S161" s="1166">
        <v>0</v>
      </c>
      <c r="T161" s="1166">
        <v>416131</v>
      </c>
      <c r="U161" s="1166">
        <v>0</v>
      </c>
      <c r="V161" s="1166">
        <v>1106835</v>
      </c>
      <c r="W161" s="1166">
        <v>0</v>
      </c>
      <c r="X161" s="1166">
        <v>0</v>
      </c>
      <c r="Y161" s="1166">
        <v>0</v>
      </c>
      <c r="Z161" s="1166">
        <v>0</v>
      </c>
      <c r="AA161" s="1166">
        <v>299536</v>
      </c>
      <c r="AB161" s="1166">
        <v>0</v>
      </c>
      <c r="AC161" s="1166">
        <v>0</v>
      </c>
      <c r="AD161" s="1166">
        <v>0</v>
      </c>
      <c r="AE161" s="1166">
        <v>0</v>
      </c>
      <c r="AF161" s="1166">
        <v>0</v>
      </c>
      <c r="AG161" s="1166">
        <v>0</v>
      </c>
      <c r="AH161" s="1166">
        <v>0</v>
      </c>
      <c r="AI161" s="1166">
        <v>0</v>
      </c>
      <c r="AJ161" s="1166">
        <v>0</v>
      </c>
      <c r="AK161" s="1166">
        <v>1322017</v>
      </c>
      <c r="AL161" s="1166">
        <v>0</v>
      </c>
      <c r="AM161" s="1166">
        <v>0</v>
      </c>
      <c r="AN161" s="1166">
        <v>0</v>
      </c>
      <c r="AO161" s="1166">
        <v>0</v>
      </c>
      <c r="AP161" s="1166">
        <v>0</v>
      </c>
      <c r="AQ161" s="1166">
        <v>0</v>
      </c>
      <c r="AR161" s="1166">
        <v>1672547</v>
      </c>
      <c r="AS161" s="1166">
        <v>0</v>
      </c>
      <c r="AT161" s="1166">
        <v>0</v>
      </c>
      <c r="AU161" s="1166">
        <v>0</v>
      </c>
      <c r="AV161" s="1166">
        <v>83219</v>
      </c>
      <c r="AW161" s="1166">
        <v>0</v>
      </c>
      <c r="AX161" s="1166">
        <v>0</v>
      </c>
      <c r="AY161" s="1166">
        <v>0</v>
      </c>
      <c r="AZ161" s="1166">
        <v>0</v>
      </c>
      <c r="BA161" s="1166">
        <v>0</v>
      </c>
      <c r="BB161" s="1166">
        <v>0</v>
      </c>
      <c r="BC161" s="1166">
        <v>0</v>
      </c>
      <c r="BD161" s="1166">
        <v>0</v>
      </c>
      <c r="BE161" s="1166">
        <v>0</v>
      </c>
      <c r="BF161" s="1166">
        <v>560324</v>
      </c>
      <c r="BG161" s="1166">
        <v>0</v>
      </c>
      <c r="BH161" s="1166">
        <v>0</v>
      </c>
      <c r="BI161" s="1166">
        <v>0</v>
      </c>
      <c r="BJ161" s="1166">
        <v>0</v>
      </c>
      <c r="BK161" s="1166">
        <v>0</v>
      </c>
      <c r="BL161" s="1166">
        <v>441073</v>
      </c>
      <c r="BM161" s="1166">
        <v>0</v>
      </c>
      <c r="BN161" s="1166">
        <v>0</v>
      </c>
      <c r="BO161" s="1166">
        <v>0</v>
      </c>
      <c r="BP161" s="1166">
        <v>0</v>
      </c>
      <c r="BQ161" s="1166">
        <v>0</v>
      </c>
      <c r="BR161" s="1166">
        <v>0</v>
      </c>
      <c r="BS161" s="1166">
        <v>0</v>
      </c>
      <c r="BT161" s="1166">
        <v>0</v>
      </c>
      <c r="BU161" s="1166">
        <v>0</v>
      </c>
      <c r="BV161" s="1166">
        <v>0</v>
      </c>
      <c r="BW161" s="1166">
        <v>0</v>
      </c>
      <c r="BX161" s="1166">
        <v>0</v>
      </c>
      <c r="BY161" s="1166">
        <v>0</v>
      </c>
      <c r="BZ161" s="1166">
        <v>0</v>
      </c>
      <c r="CA161" s="1166">
        <v>0</v>
      </c>
      <c r="CB161" s="1166">
        <v>0</v>
      </c>
    </row>
    <row r="162" spans="1:80" s="1156" customFormat="1" x14ac:dyDescent="0.3">
      <c r="A162" s="1161">
        <v>512</v>
      </c>
      <c r="B162" s="1162">
        <v>512</v>
      </c>
      <c r="C162" s="1163" t="s">
        <v>252</v>
      </c>
      <c r="D162" s="1154" t="s">
        <v>479</v>
      </c>
      <c r="E162" s="1164">
        <v>0</v>
      </c>
      <c r="F162" s="1165">
        <v>0</v>
      </c>
      <c r="G162" s="1165">
        <v>0</v>
      </c>
      <c r="H162" s="1165">
        <v>0</v>
      </c>
      <c r="I162" s="1165">
        <v>0</v>
      </c>
      <c r="J162" s="1165">
        <v>0</v>
      </c>
      <c r="K162" s="1165">
        <v>0</v>
      </c>
      <c r="L162" s="1166">
        <v>0</v>
      </c>
      <c r="M162" s="1166">
        <v>0</v>
      </c>
      <c r="N162" s="1166">
        <v>0</v>
      </c>
      <c r="O162" s="1166">
        <v>0</v>
      </c>
      <c r="P162" s="1166">
        <v>0</v>
      </c>
      <c r="Q162" s="1166">
        <v>644272</v>
      </c>
      <c r="R162" s="1166">
        <v>268181</v>
      </c>
      <c r="S162" s="1166">
        <v>0</v>
      </c>
      <c r="T162" s="1166">
        <v>247323</v>
      </c>
      <c r="U162" s="1166">
        <v>0</v>
      </c>
      <c r="V162" s="1166">
        <v>0</v>
      </c>
      <c r="W162" s="1166">
        <v>0</v>
      </c>
      <c r="X162" s="1166">
        <v>78666</v>
      </c>
      <c r="Y162" s="1166">
        <v>0</v>
      </c>
      <c r="Z162" s="1166">
        <v>0</v>
      </c>
      <c r="AA162" s="1166">
        <v>0</v>
      </c>
      <c r="AB162" s="1166">
        <v>22322</v>
      </c>
      <c r="AC162" s="1166">
        <v>0</v>
      </c>
      <c r="AD162" s="1166">
        <v>0</v>
      </c>
      <c r="AE162" s="1166">
        <v>0</v>
      </c>
      <c r="AF162" s="1166">
        <v>0</v>
      </c>
      <c r="AG162" s="1166">
        <v>0</v>
      </c>
      <c r="AH162" s="1166">
        <v>0</v>
      </c>
      <c r="AI162" s="1166">
        <v>0</v>
      </c>
      <c r="AJ162" s="1166">
        <v>0</v>
      </c>
      <c r="AK162" s="1166">
        <v>111527</v>
      </c>
      <c r="AL162" s="1166">
        <v>0</v>
      </c>
      <c r="AM162" s="1166">
        <v>0</v>
      </c>
      <c r="AN162" s="1166">
        <v>0</v>
      </c>
      <c r="AO162" s="1166">
        <v>1941</v>
      </c>
      <c r="AP162" s="1166">
        <v>0</v>
      </c>
      <c r="AQ162" s="1166">
        <v>0</v>
      </c>
      <c r="AR162" s="1166">
        <v>0</v>
      </c>
      <c r="AS162" s="1166">
        <v>0</v>
      </c>
      <c r="AT162" s="1166">
        <v>39519</v>
      </c>
      <c r="AU162" s="1166">
        <v>0</v>
      </c>
      <c r="AV162" s="1166">
        <v>0</v>
      </c>
      <c r="AW162" s="1166">
        <v>0</v>
      </c>
      <c r="AX162" s="1166">
        <v>0</v>
      </c>
      <c r="AY162" s="1166">
        <v>0</v>
      </c>
      <c r="AZ162" s="1166">
        <v>0</v>
      </c>
      <c r="BA162" s="1166">
        <v>2205</v>
      </c>
      <c r="BB162" s="1166">
        <v>0</v>
      </c>
      <c r="BC162" s="1166">
        <v>0</v>
      </c>
      <c r="BD162" s="1166">
        <v>0</v>
      </c>
      <c r="BE162" s="1166">
        <v>0</v>
      </c>
      <c r="BF162" s="1166">
        <v>0</v>
      </c>
      <c r="BG162" s="1166">
        <v>0</v>
      </c>
      <c r="BH162" s="1166">
        <v>0</v>
      </c>
      <c r="BI162" s="1166">
        <v>122190</v>
      </c>
      <c r="BJ162" s="1166">
        <v>0</v>
      </c>
      <c r="BK162" s="1166">
        <v>0</v>
      </c>
      <c r="BL162" s="1166">
        <v>0</v>
      </c>
      <c r="BM162" s="1166">
        <v>0</v>
      </c>
      <c r="BN162" s="1166">
        <v>0</v>
      </c>
      <c r="BO162" s="1166">
        <v>0</v>
      </c>
      <c r="BP162" s="1166">
        <v>0</v>
      </c>
      <c r="BQ162" s="1166">
        <v>0</v>
      </c>
      <c r="BR162" s="1166">
        <v>0</v>
      </c>
      <c r="BS162" s="1166">
        <v>0</v>
      </c>
      <c r="BT162" s="1166">
        <v>0</v>
      </c>
      <c r="BU162" s="1166">
        <v>0</v>
      </c>
      <c r="BV162" s="1166">
        <v>0</v>
      </c>
      <c r="BW162" s="1166">
        <v>0</v>
      </c>
      <c r="BX162" s="1166">
        <v>0</v>
      </c>
      <c r="BY162" s="1166">
        <v>0</v>
      </c>
      <c r="BZ162" s="1166">
        <v>0</v>
      </c>
      <c r="CA162" s="1166">
        <v>0</v>
      </c>
      <c r="CB162" s="1166">
        <v>0</v>
      </c>
    </row>
    <row r="163" spans="1:80" s="1156" customFormat="1" x14ac:dyDescent="0.3">
      <c r="A163" s="1161">
        <v>513</v>
      </c>
      <c r="B163" s="1162">
        <v>513</v>
      </c>
      <c r="C163" s="1163" t="s">
        <v>263</v>
      </c>
      <c r="D163" s="1154" t="s">
        <v>480</v>
      </c>
      <c r="E163" s="1164">
        <v>0</v>
      </c>
      <c r="F163" s="1165">
        <v>0</v>
      </c>
      <c r="G163" s="1165">
        <v>0</v>
      </c>
      <c r="H163" s="1165">
        <v>0</v>
      </c>
      <c r="I163" s="1165">
        <v>0</v>
      </c>
      <c r="J163" s="1165">
        <v>0</v>
      </c>
      <c r="K163" s="1165">
        <v>0</v>
      </c>
      <c r="L163" s="1166">
        <v>0</v>
      </c>
      <c r="M163" s="1166">
        <v>0</v>
      </c>
      <c r="N163" s="1166">
        <v>0</v>
      </c>
      <c r="O163" s="1166">
        <v>0</v>
      </c>
      <c r="P163" s="1166">
        <v>0</v>
      </c>
      <c r="Q163" s="1166">
        <v>0</v>
      </c>
      <c r="R163" s="1166">
        <v>0</v>
      </c>
      <c r="S163" s="1166">
        <v>0</v>
      </c>
      <c r="T163" s="1166">
        <v>0</v>
      </c>
      <c r="U163" s="1166">
        <v>0</v>
      </c>
      <c r="V163" s="1166">
        <v>0</v>
      </c>
      <c r="W163" s="1166">
        <v>0</v>
      </c>
      <c r="X163" s="1166">
        <v>0</v>
      </c>
      <c r="Y163" s="1166">
        <v>0</v>
      </c>
      <c r="Z163" s="1166">
        <v>0</v>
      </c>
      <c r="AA163" s="1166">
        <v>0</v>
      </c>
      <c r="AB163" s="1166">
        <v>0</v>
      </c>
      <c r="AC163" s="1166">
        <v>0</v>
      </c>
      <c r="AD163" s="1166">
        <v>0</v>
      </c>
      <c r="AE163" s="1166">
        <v>0</v>
      </c>
      <c r="AF163" s="1166">
        <v>0</v>
      </c>
      <c r="AG163" s="1166">
        <v>0</v>
      </c>
      <c r="AH163" s="1166">
        <v>0</v>
      </c>
      <c r="AI163" s="1166">
        <v>0</v>
      </c>
      <c r="AJ163" s="1166">
        <v>0</v>
      </c>
      <c r="AK163" s="1166">
        <v>0</v>
      </c>
      <c r="AL163" s="1166">
        <v>0</v>
      </c>
      <c r="AM163" s="1166">
        <v>0</v>
      </c>
      <c r="AN163" s="1166">
        <v>0</v>
      </c>
      <c r="AO163" s="1166">
        <v>0</v>
      </c>
      <c r="AP163" s="1166">
        <v>0</v>
      </c>
      <c r="AQ163" s="1166">
        <v>0</v>
      </c>
      <c r="AR163" s="1166">
        <v>0</v>
      </c>
      <c r="AS163" s="1166">
        <v>0</v>
      </c>
      <c r="AT163" s="1166">
        <v>0</v>
      </c>
      <c r="AU163" s="1166">
        <v>0</v>
      </c>
      <c r="AV163" s="1166">
        <v>0</v>
      </c>
      <c r="AW163" s="1166">
        <v>0</v>
      </c>
      <c r="AX163" s="1166">
        <v>0</v>
      </c>
      <c r="AY163" s="1166">
        <v>0</v>
      </c>
      <c r="AZ163" s="1166">
        <v>0</v>
      </c>
      <c r="BA163" s="1166">
        <v>109142</v>
      </c>
      <c r="BB163" s="1166">
        <v>0</v>
      </c>
      <c r="BC163" s="1166">
        <v>0</v>
      </c>
      <c r="BD163" s="1166">
        <v>0</v>
      </c>
      <c r="BE163" s="1166">
        <v>0</v>
      </c>
      <c r="BF163" s="1166">
        <v>0</v>
      </c>
      <c r="BG163" s="1166">
        <v>0</v>
      </c>
      <c r="BH163" s="1166">
        <v>0</v>
      </c>
      <c r="BI163" s="1166">
        <v>0</v>
      </c>
      <c r="BJ163" s="1166">
        <v>0</v>
      </c>
      <c r="BK163" s="1166">
        <v>0</v>
      </c>
      <c r="BL163" s="1166">
        <v>0</v>
      </c>
      <c r="BM163" s="1166">
        <v>0</v>
      </c>
      <c r="BN163" s="1166">
        <v>0</v>
      </c>
      <c r="BO163" s="1166">
        <v>0</v>
      </c>
      <c r="BP163" s="1166">
        <v>0</v>
      </c>
      <c r="BQ163" s="1166">
        <v>0</v>
      </c>
      <c r="BR163" s="1166">
        <v>0</v>
      </c>
      <c r="BS163" s="1166">
        <v>0</v>
      </c>
      <c r="BT163" s="1166">
        <v>0</v>
      </c>
      <c r="BU163" s="1166">
        <v>0</v>
      </c>
      <c r="BV163" s="1166">
        <v>0</v>
      </c>
      <c r="BW163" s="1166">
        <v>0</v>
      </c>
      <c r="BX163" s="1166">
        <v>0</v>
      </c>
      <c r="BY163" s="1166">
        <v>0</v>
      </c>
      <c r="BZ163" s="1166">
        <v>0</v>
      </c>
      <c r="CA163" s="1166">
        <v>0</v>
      </c>
      <c r="CB163" s="1166">
        <v>0</v>
      </c>
    </row>
    <row r="164" spans="1:80" s="1156" customFormat="1" x14ac:dyDescent="0.3">
      <c r="A164" s="1161">
        <v>514</v>
      </c>
      <c r="B164" s="1162">
        <v>514</v>
      </c>
      <c r="C164" s="1163" t="s">
        <v>264</v>
      </c>
      <c r="D164" s="1154" t="s">
        <v>481</v>
      </c>
      <c r="E164" s="1164">
        <v>0</v>
      </c>
      <c r="F164" s="1165">
        <v>0</v>
      </c>
      <c r="G164" s="1165">
        <v>0</v>
      </c>
      <c r="H164" s="1165">
        <v>0</v>
      </c>
      <c r="I164" s="1165">
        <v>0</v>
      </c>
      <c r="J164" s="1165">
        <v>0</v>
      </c>
      <c r="K164" s="1165">
        <v>0</v>
      </c>
      <c r="L164" s="1166">
        <v>0</v>
      </c>
      <c r="M164" s="1166">
        <v>0</v>
      </c>
      <c r="N164" s="1166">
        <v>0</v>
      </c>
      <c r="O164" s="1166">
        <v>0</v>
      </c>
      <c r="P164" s="1166">
        <v>0</v>
      </c>
      <c r="Q164" s="1166">
        <v>0</v>
      </c>
      <c r="R164" s="1166">
        <v>0</v>
      </c>
      <c r="S164" s="1166">
        <v>0</v>
      </c>
      <c r="T164" s="1166">
        <v>1930000</v>
      </c>
      <c r="U164" s="1166">
        <v>0</v>
      </c>
      <c r="V164" s="1166">
        <v>1232001</v>
      </c>
      <c r="W164" s="1166">
        <v>0</v>
      </c>
      <c r="X164" s="1166">
        <v>0</v>
      </c>
      <c r="Y164" s="1166">
        <v>0</v>
      </c>
      <c r="Z164" s="1166">
        <v>0</v>
      </c>
      <c r="AA164" s="1166">
        <v>0</v>
      </c>
      <c r="AB164" s="1166">
        <v>0</v>
      </c>
      <c r="AC164" s="1166">
        <v>0</v>
      </c>
      <c r="AD164" s="1166">
        <v>0</v>
      </c>
      <c r="AE164" s="1166">
        <v>0</v>
      </c>
      <c r="AF164" s="1166">
        <v>650000</v>
      </c>
      <c r="AG164" s="1166">
        <v>0</v>
      </c>
      <c r="AH164" s="1166">
        <v>0</v>
      </c>
      <c r="AI164" s="1166">
        <v>0</v>
      </c>
      <c r="AJ164" s="1166">
        <v>0</v>
      </c>
      <c r="AK164" s="1166">
        <v>553403</v>
      </c>
      <c r="AL164" s="1166">
        <v>0</v>
      </c>
      <c r="AM164" s="1166">
        <v>0</v>
      </c>
      <c r="AN164" s="1166">
        <v>0</v>
      </c>
      <c r="AO164" s="1166">
        <v>0</v>
      </c>
      <c r="AP164" s="1166">
        <v>0</v>
      </c>
      <c r="AQ164" s="1166">
        <v>0</v>
      </c>
      <c r="AR164" s="1166">
        <v>1431106</v>
      </c>
      <c r="AS164" s="1166">
        <v>0</v>
      </c>
      <c r="AT164" s="1166">
        <v>0</v>
      </c>
      <c r="AU164" s="1166">
        <v>0</v>
      </c>
      <c r="AV164" s="1166">
        <v>25975</v>
      </c>
      <c r="AW164" s="1166">
        <v>0</v>
      </c>
      <c r="AX164" s="1166">
        <v>0</v>
      </c>
      <c r="AY164" s="1166">
        <v>0</v>
      </c>
      <c r="AZ164" s="1166">
        <v>0</v>
      </c>
      <c r="BA164" s="1166">
        <v>377370</v>
      </c>
      <c r="BB164" s="1166">
        <v>0</v>
      </c>
      <c r="BC164" s="1166">
        <v>0</v>
      </c>
      <c r="BD164" s="1166">
        <v>0</v>
      </c>
      <c r="BE164" s="1166">
        <v>0</v>
      </c>
      <c r="BF164" s="1166">
        <v>662245</v>
      </c>
      <c r="BG164" s="1166">
        <v>0</v>
      </c>
      <c r="BH164" s="1166">
        <v>0</v>
      </c>
      <c r="BI164" s="1166">
        <v>0</v>
      </c>
      <c r="BJ164" s="1166">
        <v>0</v>
      </c>
      <c r="BK164" s="1166">
        <v>0</v>
      </c>
      <c r="BL164" s="1166">
        <v>0</v>
      </c>
      <c r="BM164" s="1166">
        <v>0</v>
      </c>
      <c r="BN164" s="1166">
        <v>0</v>
      </c>
      <c r="BO164" s="1166">
        <v>0</v>
      </c>
      <c r="BP164" s="1166">
        <v>0</v>
      </c>
      <c r="BQ164" s="1166">
        <v>0</v>
      </c>
      <c r="BR164" s="1166">
        <v>0</v>
      </c>
      <c r="BS164" s="1166">
        <v>0</v>
      </c>
      <c r="BT164" s="1166">
        <v>0</v>
      </c>
      <c r="BU164" s="1166">
        <v>0</v>
      </c>
      <c r="BV164" s="1166">
        <v>0</v>
      </c>
      <c r="BW164" s="1166">
        <v>0</v>
      </c>
      <c r="BX164" s="1166">
        <v>0</v>
      </c>
      <c r="BY164" s="1166">
        <v>0</v>
      </c>
      <c r="BZ164" s="1166">
        <v>0</v>
      </c>
      <c r="CA164" s="1166">
        <v>0</v>
      </c>
      <c r="CB164" s="1166">
        <v>0</v>
      </c>
    </row>
    <row r="165" spans="1:80" s="1156" customFormat="1" x14ac:dyDescent="0.3">
      <c r="A165" s="1161">
        <v>515</v>
      </c>
      <c r="B165" s="1162">
        <v>515</v>
      </c>
      <c r="C165" s="1163" t="s">
        <v>277</v>
      </c>
      <c r="D165" s="1154" t="s">
        <v>482</v>
      </c>
      <c r="E165" s="1164">
        <v>0</v>
      </c>
      <c r="F165" s="1165">
        <v>0</v>
      </c>
      <c r="G165" s="1165">
        <v>0</v>
      </c>
      <c r="H165" s="1165">
        <v>114891957</v>
      </c>
      <c r="I165" s="1165">
        <v>1379770</v>
      </c>
      <c r="J165" s="1165">
        <v>0</v>
      </c>
      <c r="K165" s="1165">
        <v>0</v>
      </c>
      <c r="L165" s="1166">
        <v>0</v>
      </c>
      <c r="M165" s="1166">
        <v>22895344</v>
      </c>
      <c r="N165" s="1166">
        <v>0</v>
      </c>
      <c r="O165" s="1166">
        <v>0</v>
      </c>
      <c r="P165" s="1166">
        <v>87396</v>
      </c>
      <c r="Q165" s="1166">
        <v>0</v>
      </c>
      <c r="R165" s="1166">
        <v>412781</v>
      </c>
      <c r="S165" s="1166">
        <v>494360</v>
      </c>
      <c r="T165" s="1166">
        <v>14550217</v>
      </c>
      <c r="U165" s="1166">
        <v>0</v>
      </c>
      <c r="V165" s="1166">
        <v>41924829</v>
      </c>
      <c r="W165" s="1166">
        <v>0</v>
      </c>
      <c r="X165" s="1166">
        <v>0</v>
      </c>
      <c r="Y165" s="1166">
        <v>0</v>
      </c>
      <c r="Z165" s="1166">
        <v>793162</v>
      </c>
      <c r="AA165" s="1166">
        <v>0</v>
      </c>
      <c r="AB165" s="1166">
        <v>0</v>
      </c>
      <c r="AC165" s="1166">
        <v>0</v>
      </c>
      <c r="AD165" s="1166">
        <v>0</v>
      </c>
      <c r="AE165" s="1166">
        <v>0</v>
      </c>
      <c r="AF165" s="1166">
        <v>219072</v>
      </c>
      <c r="AG165" s="1166">
        <v>0</v>
      </c>
      <c r="AH165" s="1166">
        <v>0</v>
      </c>
      <c r="AI165" s="1166">
        <v>0</v>
      </c>
      <c r="AJ165" s="1166">
        <v>0</v>
      </c>
      <c r="AK165" s="1166">
        <v>0</v>
      </c>
      <c r="AL165" s="1166">
        <v>73000</v>
      </c>
      <c r="AM165" s="1166">
        <v>0</v>
      </c>
      <c r="AN165" s="1166">
        <v>385199</v>
      </c>
      <c r="AO165" s="1166">
        <v>0</v>
      </c>
      <c r="AP165" s="1166">
        <v>0</v>
      </c>
      <c r="AQ165" s="1166">
        <v>0</v>
      </c>
      <c r="AR165" s="1166">
        <v>866043</v>
      </c>
      <c r="AS165" s="1166">
        <v>438864</v>
      </c>
      <c r="AT165" s="1166">
        <v>33338</v>
      </c>
      <c r="AU165" s="1166">
        <v>267595</v>
      </c>
      <c r="AV165" s="1166">
        <v>14215117</v>
      </c>
      <c r="AW165" s="1166">
        <v>108060</v>
      </c>
      <c r="AX165" s="1166">
        <v>48825</v>
      </c>
      <c r="AY165" s="1166">
        <v>0</v>
      </c>
      <c r="AZ165" s="1166">
        <v>0</v>
      </c>
      <c r="BA165" s="1166">
        <v>834343</v>
      </c>
      <c r="BB165" s="1166">
        <v>0</v>
      </c>
      <c r="BC165" s="1166">
        <v>16683</v>
      </c>
      <c r="BD165" s="1166">
        <v>0</v>
      </c>
      <c r="BE165" s="1166">
        <v>0</v>
      </c>
      <c r="BF165" s="1166">
        <v>18580814</v>
      </c>
      <c r="BG165" s="1166">
        <v>0</v>
      </c>
      <c r="BH165" s="1166">
        <v>0</v>
      </c>
      <c r="BI165" s="1166">
        <v>0</v>
      </c>
      <c r="BJ165" s="1166">
        <v>0</v>
      </c>
      <c r="BK165" s="1166">
        <v>0</v>
      </c>
      <c r="BL165" s="1166">
        <v>124260</v>
      </c>
      <c r="BM165" s="1166">
        <v>0</v>
      </c>
      <c r="BN165" s="1166">
        <v>0</v>
      </c>
      <c r="BO165" s="1166">
        <v>7521010</v>
      </c>
      <c r="BP165" s="1166">
        <v>671860</v>
      </c>
      <c r="BQ165" s="1166">
        <v>0</v>
      </c>
      <c r="BR165" s="1166">
        <v>364151</v>
      </c>
      <c r="BS165" s="1166">
        <v>0</v>
      </c>
      <c r="BT165" s="1166">
        <v>0</v>
      </c>
      <c r="BU165" s="1166">
        <v>2483050</v>
      </c>
      <c r="BV165" s="1166">
        <v>0</v>
      </c>
      <c r="BW165" s="1166">
        <v>0</v>
      </c>
      <c r="BX165" s="1166">
        <v>0</v>
      </c>
      <c r="BY165" s="1166">
        <v>0</v>
      </c>
      <c r="BZ165" s="1166">
        <v>0</v>
      </c>
      <c r="CA165" s="1166">
        <v>9136888</v>
      </c>
      <c r="CB165" s="1166">
        <v>0</v>
      </c>
    </row>
    <row r="166" spans="1:80" s="1156" customFormat="1" x14ac:dyDescent="0.3">
      <c r="A166" s="1161">
        <v>516</v>
      </c>
      <c r="B166" s="1162">
        <v>516</v>
      </c>
      <c r="C166" s="1163" t="s">
        <v>278</v>
      </c>
      <c r="D166" s="1154" t="s">
        <v>483</v>
      </c>
      <c r="E166" s="1164">
        <v>0</v>
      </c>
      <c r="F166" s="1165">
        <v>0</v>
      </c>
      <c r="G166" s="1165">
        <v>0</v>
      </c>
      <c r="H166" s="1165">
        <v>133220786</v>
      </c>
      <c r="I166" s="1165">
        <v>13323406</v>
      </c>
      <c r="J166" s="1165">
        <v>1918997</v>
      </c>
      <c r="K166" s="1165">
        <v>10450708</v>
      </c>
      <c r="L166" s="1166">
        <v>8234236</v>
      </c>
      <c r="M166" s="1166">
        <v>142147313</v>
      </c>
      <c r="N166" s="1166">
        <v>0</v>
      </c>
      <c r="O166" s="1166">
        <v>5168694</v>
      </c>
      <c r="P166" s="1166">
        <v>6483359</v>
      </c>
      <c r="Q166" s="1166">
        <v>0</v>
      </c>
      <c r="R166" s="1166">
        <v>19907238</v>
      </c>
      <c r="S166" s="1166">
        <v>39439433</v>
      </c>
      <c r="T166" s="1166">
        <v>30030291</v>
      </c>
      <c r="U166" s="1166">
        <v>0</v>
      </c>
      <c r="V166" s="1166">
        <v>68569461</v>
      </c>
      <c r="W166" s="1166">
        <v>0</v>
      </c>
      <c r="X166" s="1166">
        <v>0</v>
      </c>
      <c r="Y166" s="1166">
        <v>0</v>
      </c>
      <c r="Z166" s="1166">
        <v>9583134</v>
      </c>
      <c r="AA166" s="1166">
        <v>15205701</v>
      </c>
      <c r="AB166" s="1166">
        <v>10332893</v>
      </c>
      <c r="AC166" s="1166">
        <v>0</v>
      </c>
      <c r="AD166" s="1166">
        <v>795683</v>
      </c>
      <c r="AE166" s="1166">
        <v>14222748</v>
      </c>
      <c r="AF166" s="1166">
        <v>18715050</v>
      </c>
      <c r="AG166" s="1166">
        <v>1286321</v>
      </c>
      <c r="AH166" s="1166">
        <v>0</v>
      </c>
      <c r="AI166" s="1166">
        <v>0</v>
      </c>
      <c r="AJ166" s="1166">
        <v>2977200</v>
      </c>
      <c r="AK166" s="1166">
        <v>54730193</v>
      </c>
      <c r="AL166" s="1166">
        <v>2131288</v>
      </c>
      <c r="AM166" s="1166">
        <v>0</v>
      </c>
      <c r="AN166" s="1166">
        <v>47675856</v>
      </c>
      <c r="AO166" s="1166">
        <v>77134113</v>
      </c>
      <c r="AP166" s="1166">
        <v>1386889</v>
      </c>
      <c r="AQ166" s="1166">
        <v>0</v>
      </c>
      <c r="AR166" s="1166">
        <v>72661343</v>
      </c>
      <c r="AS166" s="1166">
        <v>9650211</v>
      </c>
      <c r="AT166" s="1166">
        <v>5958333</v>
      </c>
      <c r="AU166" s="1166">
        <v>6665103</v>
      </c>
      <c r="AV166" s="1166">
        <v>47076931</v>
      </c>
      <c r="AW166" s="1166">
        <v>1742830</v>
      </c>
      <c r="AX166" s="1166">
        <v>7227037</v>
      </c>
      <c r="AY166" s="1166">
        <v>13628125</v>
      </c>
      <c r="AZ166" s="1166">
        <v>17597375</v>
      </c>
      <c r="BA166" s="1166">
        <v>27812080</v>
      </c>
      <c r="BB166" s="1166">
        <v>20457</v>
      </c>
      <c r="BC166" s="1166">
        <v>790666</v>
      </c>
      <c r="BD166" s="1166">
        <v>0</v>
      </c>
      <c r="BE166" s="1166">
        <v>0</v>
      </c>
      <c r="BF166" s="1166">
        <v>68558904</v>
      </c>
      <c r="BG166" s="1166">
        <v>0</v>
      </c>
      <c r="BH166" s="1166">
        <v>0</v>
      </c>
      <c r="BI166" s="1166">
        <v>11744116</v>
      </c>
      <c r="BJ166" s="1166">
        <v>8234496</v>
      </c>
      <c r="BK166" s="1166">
        <v>5790749</v>
      </c>
      <c r="BL166" s="1166">
        <v>16829587</v>
      </c>
      <c r="BM166" s="1166">
        <v>10888924</v>
      </c>
      <c r="BN166" s="1166">
        <v>0</v>
      </c>
      <c r="BO166" s="1166">
        <v>24577966</v>
      </c>
      <c r="BP166" s="1166">
        <v>14235973</v>
      </c>
      <c r="BQ166" s="1166">
        <v>15049071</v>
      </c>
      <c r="BR166" s="1166">
        <v>6316273</v>
      </c>
      <c r="BS166" s="1166">
        <v>0</v>
      </c>
      <c r="BT166" s="1166">
        <v>0</v>
      </c>
      <c r="BU166" s="1166">
        <v>4880718</v>
      </c>
      <c r="BV166" s="1166">
        <v>23580566</v>
      </c>
      <c r="BW166" s="1166">
        <v>5905822</v>
      </c>
      <c r="BX166" s="1166">
        <v>2166959</v>
      </c>
      <c r="BY166" s="1166">
        <v>0</v>
      </c>
      <c r="BZ166" s="1166">
        <v>0</v>
      </c>
      <c r="CA166" s="1166">
        <v>61464767</v>
      </c>
      <c r="CB166" s="1166">
        <v>0</v>
      </c>
    </row>
    <row r="167" spans="1:80" s="1156" customFormat="1" x14ac:dyDescent="0.3">
      <c r="A167" s="1161">
        <v>517</v>
      </c>
      <c r="B167" s="1162">
        <v>517</v>
      </c>
      <c r="C167" s="1163" t="s">
        <v>279</v>
      </c>
      <c r="D167" s="1154" t="s">
        <v>484</v>
      </c>
      <c r="E167" s="1164">
        <v>0</v>
      </c>
      <c r="F167" s="1165">
        <v>0</v>
      </c>
      <c r="G167" s="1165">
        <v>0</v>
      </c>
      <c r="H167" s="1165">
        <v>0</v>
      </c>
      <c r="I167" s="1165">
        <v>0</v>
      </c>
      <c r="J167" s="1165">
        <v>0</v>
      </c>
      <c r="K167" s="1165">
        <v>0</v>
      </c>
      <c r="L167" s="1166">
        <v>0</v>
      </c>
      <c r="M167" s="1166">
        <v>0</v>
      </c>
      <c r="N167" s="1166">
        <v>0</v>
      </c>
      <c r="O167" s="1166">
        <v>0</v>
      </c>
      <c r="P167" s="1166">
        <v>0</v>
      </c>
      <c r="Q167" s="1166">
        <v>0</v>
      </c>
      <c r="R167" s="1166">
        <v>0</v>
      </c>
      <c r="S167" s="1166">
        <v>0</v>
      </c>
      <c r="T167" s="1166">
        <v>0</v>
      </c>
      <c r="U167" s="1166">
        <v>0</v>
      </c>
      <c r="V167" s="1166">
        <v>575177</v>
      </c>
      <c r="W167" s="1166">
        <v>0</v>
      </c>
      <c r="X167" s="1166">
        <v>0</v>
      </c>
      <c r="Y167" s="1166">
        <v>0</v>
      </c>
      <c r="Z167" s="1166">
        <v>0</v>
      </c>
      <c r="AA167" s="1166">
        <v>0</v>
      </c>
      <c r="AB167" s="1166">
        <v>0</v>
      </c>
      <c r="AC167" s="1166">
        <v>0</v>
      </c>
      <c r="AD167" s="1166">
        <v>0</v>
      </c>
      <c r="AE167" s="1166">
        <v>0</v>
      </c>
      <c r="AF167" s="1166">
        <v>0</v>
      </c>
      <c r="AG167" s="1166">
        <v>0</v>
      </c>
      <c r="AH167" s="1166">
        <v>0</v>
      </c>
      <c r="AI167" s="1166">
        <v>0</v>
      </c>
      <c r="AJ167" s="1166">
        <v>0</v>
      </c>
      <c r="AK167" s="1166">
        <v>0</v>
      </c>
      <c r="AL167" s="1166">
        <v>0</v>
      </c>
      <c r="AM167" s="1166">
        <v>0</v>
      </c>
      <c r="AN167" s="1166">
        <v>0</v>
      </c>
      <c r="AO167" s="1166">
        <v>0</v>
      </c>
      <c r="AP167" s="1166">
        <v>0</v>
      </c>
      <c r="AQ167" s="1166">
        <v>0</v>
      </c>
      <c r="AR167" s="1166">
        <v>0</v>
      </c>
      <c r="AS167" s="1166">
        <v>56277</v>
      </c>
      <c r="AT167" s="1166">
        <v>0</v>
      </c>
      <c r="AU167" s="1166">
        <v>0</v>
      </c>
      <c r="AV167" s="1166">
        <v>0</v>
      </c>
      <c r="AW167" s="1166">
        <v>0</v>
      </c>
      <c r="AX167" s="1166">
        <v>0</v>
      </c>
      <c r="AY167" s="1166">
        <v>0</v>
      </c>
      <c r="AZ167" s="1166">
        <v>0</v>
      </c>
      <c r="BA167" s="1166">
        <v>0</v>
      </c>
      <c r="BB167" s="1166">
        <v>0</v>
      </c>
      <c r="BC167" s="1166">
        <v>6390019</v>
      </c>
      <c r="BD167" s="1166">
        <v>0</v>
      </c>
      <c r="BE167" s="1166">
        <v>0</v>
      </c>
      <c r="BF167" s="1166">
        <v>0</v>
      </c>
      <c r="BG167" s="1166">
        <v>0</v>
      </c>
      <c r="BH167" s="1166">
        <v>0</v>
      </c>
      <c r="BI167" s="1166">
        <v>0</v>
      </c>
      <c r="BJ167" s="1166">
        <v>0</v>
      </c>
      <c r="BK167" s="1166">
        <v>0</v>
      </c>
      <c r="BL167" s="1166">
        <v>0</v>
      </c>
      <c r="BM167" s="1166">
        <v>0</v>
      </c>
      <c r="BN167" s="1166">
        <v>0</v>
      </c>
      <c r="BO167" s="1166">
        <v>0</v>
      </c>
      <c r="BP167" s="1166">
        <v>0</v>
      </c>
      <c r="BQ167" s="1166">
        <v>0</v>
      </c>
      <c r="BR167" s="1166">
        <v>0</v>
      </c>
      <c r="BS167" s="1166">
        <v>0</v>
      </c>
      <c r="BT167" s="1166">
        <v>0</v>
      </c>
      <c r="BU167" s="1166">
        <v>0</v>
      </c>
      <c r="BV167" s="1166">
        <v>0</v>
      </c>
      <c r="BW167" s="1166">
        <v>0</v>
      </c>
      <c r="BX167" s="1166">
        <v>0</v>
      </c>
      <c r="BY167" s="1166">
        <v>0</v>
      </c>
      <c r="BZ167" s="1166">
        <v>0</v>
      </c>
      <c r="CA167" s="1166">
        <v>0</v>
      </c>
      <c r="CB167" s="1166">
        <v>0</v>
      </c>
    </row>
    <row r="168" spans="1:80" s="1156" customFormat="1" x14ac:dyDescent="0.3">
      <c r="A168" s="1161">
        <v>518</v>
      </c>
      <c r="B168" s="1162">
        <v>518</v>
      </c>
      <c r="C168" s="1163" t="s">
        <v>280</v>
      </c>
      <c r="D168" s="1154" t="s">
        <v>485</v>
      </c>
      <c r="E168" s="1164">
        <v>0</v>
      </c>
      <c r="F168" s="1165">
        <v>0</v>
      </c>
      <c r="G168" s="1165">
        <v>0</v>
      </c>
      <c r="H168" s="1165">
        <v>9941080</v>
      </c>
      <c r="I168" s="1165">
        <v>10019896</v>
      </c>
      <c r="J168" s="1165">
        <v>71899</v>
      </c>
      <c r="K168" s="1165">
        <v>345551</v>
      </c>
      <c r="L168" s="1166">
        <v>0</v>
      </c>
      <c r="M168" s="1166">
        <v>4557436</v>
      </c>
      <c r="N168" s="1166">
        <v>0</v>
      </c>
      <c r="O168" s="1166">
        <v>511615</v>
      </c>
      <c r="P168" s="1166">
        <v>2113367</v>
      </c>
      <c r="Q168" s="1166">
        <v>0</v>
      </c>
      <c r="R168" s="1166">
        <v>6685266</v>
      </c>
      <c r="S168" s="1166">
        <v>1959186</v>
      </c>
      <c r="T168" s="1166">
        <v>64226399</v>
      </c>
      <c r="U168" s="1166">
        <v>0</v>
      </c>
      <c r="V168" s="1166">
        <v>5987289</v>
      </c>
      <c r="W168" s="1166">
        <v>0</v>
      </c>
      <c r="X168" s="1166">
        <v>0</v>
      </c>
      <c r="Y168" s="1166">
        <v>0</v>
      </c>
      <c r="Z168" s="1166">
        <v>921308</v>
      </c>
      <c r="AA168" s="1166">
        <v>1232275</v>
      </c>
      <c r="AB168" s="1166">
        <v>519833</v>
      </c>
      <c r="AC168" s="1166">
        <v>0</v>
      </c>
      <c r="AD168" s="1166">
        <v>60561</v>
      </c>
      <c r="AE168" s="1166">
        <v>482989</v>
      </c>
      <c r="AF168" s="1166">
        <v>1602760</v>
      </c>
      <c r="AG168" s="1166">
        <v>11089</v>
      </c>
      <c r="AH168" s="1166">
        <v>0</v>
      </c>
      <c r="AI168" s="1166">
        <v>0</v>
      </c>
      <c r="AJ168" s="1166">
        <v>170532</v>
      </c>
      <c r="AK168" s="1166">
        <v>4551513</v>
      </c>
      <c r="AL168" s="1166">
        <v>100717</v>
      </c>
      <c r="AM168" s="1166">
        <v>0</v>
      </c>
      <c r="AN168" s="1166">
        <v>4295874</v>
      </c>
      <c r="AO168" s="1166">
        <v>4601026</v>
      </c>
      <c r="AP168" s="1166">
        <v>70575</v>
      </c>
      <c r="AQ168" s="1166">
        <v>0</v>
      </c>
      <c r="AR168" s="1166">
        <v>3695660</v>
      </c>
      <c r="AS168" s="1166">
        <v>738713</v>
      </c>
      <c r="AT168" s="1166">
        <v>82313</v>
      </c>
      <c r="AU168" s="1166">
        <v>862044</v>
      </c>
      <c r="AV168" s="1166">
        <v>11138956</v>
      </c>
      <c r="AW168" s="1166">
        <v>20574</v>
      </c>
      <c r="AX168" s="1166">
        <v>819424</v>
      </c>
      <c r="AY168" s="1166">
        <v>259012</v>
      </c>
      <c r="AZ168" s="1166">
        <v>506942</v>
      </c>
      <c r="BA168" s="1166">
        <v>0</v>
      </c>
      <c r="BB168" s="1166">
        <v>0</v>
      </c>
      <c r="BC168" s="1166">
        <v>561112</v>
      </c>
      <c r="BD168" s="1166">
        <v>0</v>
      </c>
      <c r="BE168" s="1166">
        <v>0</v>
      </c>
      <c r="BF168" s="1166">
        <v>16054287</v>
      </c>
      <c r="BG168" s="1166">
        <v>0</v>
      </c>
      <c r="BH168" s="1166">
        <v>0</v>
      </c>
      <c r="BI168" s="1166">
        <v>1048774</v>
      </c>
      <c r="BJ168" s="1166">
        <v>460765</v>
      </c>
      <c r="BK168" s="1166">
        <v>70254</v>
      </c>
      <c r="BL168" s="1166">
        <v>1972861</v>
      </c>
      <c r="BM168" s="1166">
        <v>568233</v>
      </c>
      <c r="BN168" s="1166">
        <v>0</v>
      </c>
      <c r="BO168" s="1166">
        <v>4516818</v>
      </c>
      <c r="BP168" s="1166">
        <v>491489</v>
      </c>
      <c r="BQ168" s="1166">
        <v>183278</v>
      </c>
      <c r="BR168" s="1166">
        <v>720898</v>
      </c>
      <c r="BS168" s="1166">
        <v>0</v>
      </c>
      <c r="BT168" s="1166">
        <v>0</v>
      </c>
      <c r="BU168" s="1166">
        <v>1918580</v>
      </c>
      <c r="BV168" s="1166">
        <v>1128535</v>
      </c>
      <c r="BW168" s="1166">
        <v>414954</v>
      </c>
      <c r="BX168" s="1166">
        <v>0</v>
      </c>
      <c r="BY168" s="1166">
        <v>0</v>
      </c>
      <c r="BZ168" s="1166">
        <v>0</v>
      </c>
      <c r="CA168" s="1166">
        <v>2376306</v>
      </c>
      <c r="CB168" s="1166">
        <v>0</v>
      </c>
    </row>
    <row r="169" spans="1:80" s="1156" customFormat="1" x14ac:dyDescent="0.3">
      <c r="A169" s="1161">
        <v>519</v>
      </c>
      <c r="B169" s="1162">
        <v>519</v>
      </c>
      <c r="C169" s="1163" t="s">
        <v>281</v>
      </c>
      <c r="D169" s="1154" t="s">
        <v>486</v>
      </c>
      <c r="E169" s="1164">
        <v>0</v>
      </c>
      <c r="F169" s="1165">
        <v>0</v>
      </c>
      <c r="G169" s="1165">
        <v>0</v>
      </c>
      <c r="H169" s="1165">
        <v>2701562</v>
      </c>
      <c r="I169" s="1165">
        <v>32500</v>
      </c>
      <c r="J169" s="1165">
        <v>0</v>
      </c>
      <c r="K169" s="1165">
        <v>0</v>
      </c>
      <c r="L169" s="1166">
        <v>0</v>
      </c>
      <c r="M169" s="1166">
        <v>369318</v>
      </c>
      <c r="N169" s="1166">
        <v>0</v>
      </c>
      <c r="O169" s="1166">
        <v>0</v>
      </c>
      <c r="P169" s="1166">
        <v>1748</v>
      </c>
      <c r="Q169" s="1166">
        <v>0</v>
      </c>
      <c r="R169" s="1166">
        <v>2388</v>
      </c>
      <c r="S169" s="1166">
        <v>8520</v>
      </c>
      <c r="T169" s="1166">
        <v>161319</v>
      </c>
      <c r="U169" s="1166">
        <v>0</v>
      </c>
      <c r="V169" s="1166">
        <v>986034</v>
      </c>
      <c r="W169" s="1166">
        <v>0</v>
      </c>
      <c r="X169" s="1166">
        <v>0</v>
      </c>
      <c r="Y169" s="1166">
        <v>0</v>
      </c>
      <c r="Z169" s="1166">
        <v>19829</v>
      </c>
      <c r="AA169" s="1166">
        <v>0</v>
      </c>
      <c r="AB169" s="1166">
        <v>0</v>
      </c>
      <c r="AC169" s="1166">
        <v>0</v>
      </c>
      <c r="AD169" s="1166">
        <v>0</v>
      </c>
      <c r="AE169" s="1166">
        <v>0</v>
      </c>
      <c r="AF169" s="1166">
        <v>7557</v>
      </c>
      <c r="AG169" s="1166">
        <v>0</v>
      </c>
      <c r="AH169" s="1166">
        <v>0</v>
      </c>
      <c r="AI169" s="1166">
        <v>0</v>
      </c>
      <c r="AJ169" s="1166">
        <v>0</v>
      </c>
      <c r="AK169" s="1166">
        <v>0</v>
      </c>
      <c r="AL169" s="1166">
        <v>0</v>
      </c>
      <c r="AM169" s="1166">
        <v>0</v>
      </c>
      <c r="AN169" s="1166">
        <v>3210</v>
      </c>
      <c r="AO169" s="1166">
        <v>0</v>
      </c>
      <c r="AP169" s="1166">
        <v>0</v>
      </c>
      <c r="AQ169" s="1166">
        <v>0</v>
      </c>
      <c r="AR169" s="1166">
        <v>10965</v>
      </c>
      <c r="AS169" s="1166">
        <v>11919</v>
      </c>
      <c r="AT169" s="1166">
        <v>667</v>
      </c>
      <c r="AU169" s="1166">
        <v>8453</v>
      </c>
      <c r="AV169" s="1166">
        <v>337788</v>
      </c>
      <c r="AW169" s="1166">
        <v>2874</v>
      </c>
      <c r="AX169" s="1166">
        <v>1628</v>
      </c>
      <c r="AY169" s="1166">
        <v>0</v>
      </c>
      <c r="AZ169" s="1166">
        <v>0</v>
      </c>
      <c r="BA169" s="1166">
        <v>20859</v>
      </c>
      <c r="BB169" s="1166">
        <v>0</v>
      </c>
      <c r="BC169" s="1166">
        <v>0</v>
      </c>
      <c r="BD169" s="1166">
        <v>0</v>
      </c>
      <c r="BE169" s="1166">
        <v>0</v>
      </c>
      <c r="BF169" s="1166">
        <v>263474</v>
      </c>
      <c r="BG169" s="1166">
        <v>0</v>
      </c>
      <c r="BH169" s="1166">
        <v>0</v>
      </c>
      <c r="BI169" s="1166">
        <v>0</v>
      </c>
      <c r="BJ169" s="1166">
        <v>0</v>
      </c>
      <c r="BK169" s="1166">
        <v>0</v>
      </c>
      <c r="BL169" s="1166">
        <v>2255</v>
      </c>
      <c r="BM169" s="1166">
        <v>0</v>
      </c>
      <c r="BN169" s="1166">
        <v>0</v>
      </c>
      <c r="BO169" s="1166">
        <v>133423</v>
      </c>
      <c r="BP169" s="1166">
        <v>16590</v>
      </c>
      <c r="BQ169" s="1166">
        <v>0</v>
      </c>
      <c r="BR169" s="1166">
        <v>9546</v>
      </c>
      <c r="BS169" s="1166">
        <v>0</v>
      </c>
      <c r="BT169" s="1166">
        <v>0</v>
      </c>
      <c r="BU169" s="1166">
        <v>111269</v>
      </c>
      <c r="BV169" s="1166">
        <v>0</v>
      </c>
      <c r="BW169" s="1166">
        <v>0</v>
      </c>
      <c r="BX169" s="1166">
        <v>0</v>
      </c>
      <c r="BY169" s="1166">
        <v>0</v>
      </c>
      <c r="BZ169" s="1166">
        <v>0</v>
      </c>
      <c r="CA169" s="1166">
        <v>197886</v>
      </c>
      <c r="CB169" s="1166">
        <v>0</v>
      </c>
    </row>
    <row r="170" spans="1:80" s="1156" customFormat="1" x14ac:dyDescent="0.3">
      <c r="A170" s="1161">
        <v>520</v>
      </c>
      <c r="B170" s="1162">
        <v>520</v>
      </c>
      <c r="C170" s="1163" t="s">
        <v>282</v>
      </c>
      <c r="D170" s="1154" t="s">
        <v>487</v>
      </c>
      <c r="E170" s="1164">
        <v>0</v>
      </c>
      <c r="F170" s="1165">
        <v>0</v>
      </c>
      <c r="G170" s="1165">
        <v>0</v>
      </c>
      <c r="H170" s="1165">
        <v>5279768</v>
      </c>
      <c r="I170" s="1165">
        <v>274851</v>
      </c>
      <c r="J170" s="1165">
        <v>16423</v>
      </c>
      <c r="K170" s="1165">
        <v>211499</v>
      </c>
      <c r="L170" s="1166">
        <v>158510</v>
      </c>
      <c r="M170" s="1166">
        <v>2144217</v>
      </c>
      <c r="N170" s="1166">
        <v>0</v>
      </c>
      <c r="O170" s="1166">
        <v>103036</v>
      </c>
      <c r="P170" s="1166">
        <v>169700</v>
      </c>
      <c r="Q170" s="1166">
        <v>0</v>
      </c>
      <c r="R170" s="1166">
        <v>479307</v>
      </c>
      <c r="S170" s="1166">
        <v>896033</v>
      </c>
      <c r="T170" s="1166">
        <v>1086931</v>
      </c>
      <c r="U170" s="1166">
        <v>0</v>
      </c>
      <c r="V170" s="1166">
        <v>1478544</v>
      </c>
      <c r="W170" s="1166">
        <v>0</v>
      </c>
      <c r="X170" s="1166">
        <v>0</v>
      </c>
      <c r="Y170" s="1166">
        <v>0</v>
      </c>
      <c r="Z170" s="1166">
        <v>188124</v>
      </c>
      <c r="AA170" s="1166">
        <v>331897</v>
      </c>
      <c r="AB170" s="1166">
        <v>294710</v>
      </c>
      <c r="AC170" s="1166">
        <v>0</v>
      </c>
      <c r="AD170" s="1166">
        <v>3639</v>
      </c>
      <c r="AE170" s="1166">
        <v>273207</v>
      </c>
      <c r="AF170" s="1166">
        <v>401611</v>
      </c>
      <c r="AG170" s="1166">
        <v>25726</v>
      </c>
      <c r="AH170" s="1166">
        <v>0</v>
      </c>
      <c r="AI170" s="1166">
        <v>0</v>
      </c>
      <c r="AJ170" s="1166">
        <v>55238</v>
      </c>
      <c r="AK170" s="1166">
        <v>1236094</v>
      </c>
      <c r="AL170" s="1166">
        <v>52740</v>
      </c>
      <c r="AM170" s="1166">
        <v>0</v>
      </c>
      <c r="AN170" s="1166">
        <v>1237428</v>
      </c>
      <c r="AO170" s="1166">
        <v>1321120</v>
      </c>
      <c r="AP170" s="1166">
        <v>3509</v>
      </c>
      <c r="AQ170" s="1166">
        <v>0</v>
      </c>
      <c r="AR170" s="1166">
        <v>1057359</v>
      </c>
      <c r="AS170" s="1166">
        <v>198687</v>
      </c>
      <c r="AT170" s="1166">
        <v>119166</v>
      </c>
      <c r="AU170" s="1166">
        <v>194360</v>
      </c>
      <c r="AV170" s="1166">
        <v>1091134</v>
      </c>
      <c r="AW170" s="1166">
        <v>58094</v>
      </c>
      <c r="AX170" s="1166">
        <v>134212</v>
      </c>
      <c r="AY170" s="1166">
        <v>273158</v>
      </c>
      <c r="AZ170" s="1166">
        <v>374846</v>
      </c>
      <c r="BA170" s="1166">
        <v>563464</v>
      </c>
      <c r="BB170" s="1166">
        <v>0</v>
      </c>
      <c r="BC170" s="1166">
        <v>41169</v>
      </c>
      <c r="BD170" s="1166">
        <v>0</v>
      </c>
      <c r="BE170" s="1166">
        <v>0</v>
      </c>
      <c r="BF170" s="1166">
        <v>1171956</v>
      </c>
      <c r="BG170" s="1166">
        <v>0</v>
      </c>
      <c r="BH170" s="1166">
        <v>0</v>
      </c>
      <c r="BI170" s="1166">
        <v>228834</v>
      </c>
      <c r="BJ170" s="1166">
        <v>168715</v>
      </c>
      <c r="BK170" s="1166">
        <v>234723</v>
      </c>
      <c r="BL170" s="1166">
        <v>316154</v>
      </c>
      <c r="BM170" s="1166">
        <v>286842</v>
      </c>
      <c r="BN170" s="1166">
        <v>0</v>
      </c>
      <c r="BO170" s="1166">
        <v>565284</v>
      </c>
      <c r="BP170" s="1166">
        <v>243838</v>
      </c>
      <c r="BQ170" s="1166">
        <v>305096</v>
      </c>
      <c r="BR170" s="1166">
        <v>104558</v>
      </c>
      <c r="BS170" s="1166">
        <v>0</v>
      </c>
      <c r="BT170" s="1166">
        <v>0</v>
      </c>
      <c r="BU170" s="1166">
        <v>60509</v>
      </c>
      <c r="BV170" s="1166">
        <v>109500</v>
      </c>
      <c r="BW170" s="1166">
        <v>133785</v>
      </c>
      <c r="BX170" s="1166">
        <v>42547</v>
      </c>
      <c r="BY170" s="1166">
        <v>0</v>
      </c>
      <c r="BZ170" s="1166">
        <v>0</v>
      </c>
      <c r="CA170" s="1166">
        <v>1237946</v>
      </c>
      <c r="CB170" s="1166">
        <v>0</v>
      </c>
    </row>
    <row r="171" spans="1:80" s="1156" customFormat="1" x14ac:dyDescent="0.3">
      <c r="A171" s="1161">
        <v>521</v>
      </c>
      <c r="B171" s="1162">
        <v>521</v>
      </c>
      <c r="C171" s="1163" t="s">
        <v>283</v>
      </c>
      <c r="D171" s="1154" t="s">
        <v>488</v>
      </c>
      <c r="E171" s="1164">
        <v>0</v>
      </c>
      <c r="F171" s="1165">
        <v>0</v>
      </c>
      <c r="G171" s="1165">
        <v>0</v>
      </c>
      <c r="H171" s="1165">
        <v>0</v>
      </c>
      <c r="I171" s="1165">
        <v>0</v>
      </c>
      <c r="J171" s="1165">
        <v>0</v>
      </c>
      <c r="K171" s="1165">
        <v>0</v>
      </c>
      <c r="L171" s="1166">
        <v>0</v>
      </c>
      <c r="M171" s="1166">
        <v>0</v>
      </c>
      <c r="N171" s="1166">
        <v>0</v>
      </c>
      <c r="O171" s="1166">
        <v>0</v>
      </c>
      <c r="P171" s="1166">
        <v>0</v>
      </c>
      <c r="Q171" s="1166">
        <v>0</v>
      </c>
      <c r="R171" s="1166">
        <v>0</v>
      </c>
      <c r="S171" s="1166">
        <v>0</v>
      </c>
      <c r="T171" s="1166">
        <v>0</v>
      </c>
      <c r="U171" s="1166">
        <v>0</v>
      </c>
      <c r="V171" s="1166">
        <v>28580</v>
      </c>
      <c r="W171" s="1166">
        <v>0</v>
      </c>
      <c r="X171" s="1166">
        <v>0</v>
      </c>
      <c r="Y171" s="1166">
        <v>0</v>
      </c>
      <c r="Z171" s="1166">
        <v>0</v>
      </c>
      <c r="AA171" s="1166">
        <v>0</v>
      </c>
      <c r="AB171" s="1166">
        <v>0</v>
      </c>
      <c r="AC171" s="1166">
        <v>0</v>
      </c>
      <c r="AD171" s="1166">
        <v>0</v>
      </c>
      <c r="AE171" s="1166">
        <v>0</v>
      </c>
      <c r="AF171" s="1166">
        <v>0</v>
      </c>
      <c r="AG171" s="1166">
        <v>0</v>
      </c>
      <c r="AH171" s="1166">
        <v>0</v>
      </c>
      <c r="AI171" s="1166">
        <v>0</v>
      </c>
      <c r="AJ171" s="1166">
        <v>0</v>
      </c>
      <c r="AK171" s="1166">
        <v>0</v>
      </c>
      <c r="AL171" s="1166">
        <v>0</v>
      </c>
      <c r="AM171" s="1166">
        <v>0</v>
      </c>
      <c r="AN171" s="1166">
        <v>0</v>
      </c>
      <c r="AO171" s="1166">
        <v>0</v>
      </c>
      <c r="AP171" s="1166">
        <v>0</v>
      </c>
      <c r="AQ171" s="1166">
        <v>0</v>
      </c>
      <c r="AR171" s="1166">
        <v>0</v>
      </c>
      <c r="AS171" s="1166">
        <v>1838</v>
      </c>
      <c r="AT171" s="1166">
        <v>0</v>
      </c>
      <c r="AU171" s="1166">
        <v>0</v>
      </c>
      <c r="AV171" s="1166">
        <v>0</v>
      </c>
      <c r="AW171" s="1166">
        <v>0</v>
      </c>
      <c r="AX171" s="1166">
        <v>0</v>
      </c>
      <c r="AY171" s="1166">
        <v>0</v>
      </c>
      <c r="AZ171" s="1166">
        <v>0</v>
      </c>
      <c r="BA171" s="1166">
        <v>0</v>
      </c>
      <c r="BB171" s="1166">
        <v>0</v>
      </c>
      <c r="BC171" s="1166">
        <v>93755</v>
      </c>
      <c r="BD171" s="1166">
        <v>0</v>
      </c>
      <c r="BE171" s="1166">
        <v>0</v>
      </c>
      <c r="BF171" s="1166">
        <v>0</v>
      </c>
      <c r="BG171" s="1166">
        <v>0</v>
      </c>
      <c r="BH171" s="1166">
        <v>0</v>
      </c>
      <c r="BI171" s="1166">
        <v>0</v>
      </c>
      <c r="BJ171" s="1166">
        <v>0</v>
      </c>
      <c r="BK171" s="1166">
        <v>0</v>
      </c>
      <c r="BL171" s="1166">
        <v>0</v>
      </c>
      <c r="BM171" s="1166">
        <v>0</v>
      </c>
      <c r="BN171" s="1166">
        <v>0</v>
      </c>
      <c r="BO171" s="1166">
        <v>0</v>
      </c>
      <c r="BP171" s="1166">
        <v>0</v>
      </c>
      <c r="BQ171" s="1166">
        <v>0</v>
      </c>
      <c r="BR171" s="1166">
        <v>0</v>
      </c>
      <c r="BS171" s="1166">
        <v>0</v>
      </c>
      <c r="BT171" s="1166">
        <v>0</v>
      </c>
      <c r="BU171" s="1166">
        <v>0</v>
      </c>
      <c r="BV171" s="1166">
        <v>0</v>
      </c>
      <c r="BW171" s="1166">
        <v>0</v>
      </c>
      <c r="BX171" s="1166">
        <v>0</v>
      </c>
      <c r="BY171" s="1166">
        <v>0</v>
      </c>
      <c r="BZ171" s="1166">
        <v>0</v>
      </c>
      <c r="CA171" s="1166">
        <v>0</v>
      </c>
      <c r="CB171" s="1166">
        <v>0</v>
      </c>
    </row>
    <row r="172" spans="1:80" s="1156" customFormat="1" x14ac:dyDescent="0.3">
      <c r="A172" s="1161">
        <v>522</v>
      </c>
      <c r="B172" s="1162">
        <v>522</v>
      </c>
      <c r="C172" s="1163" t="s">
        <v>284</v>
      </c>
      <c r="D172" s="1154" t="s">
        <v>489</v>
      </c>
      <c r="E172" s="1164">
        <v>0</v>
      </c>
      <c r="F172" s="1165">
        <v>0</v>
      </c>
      <c r="G172" s="1165">
        <v>0</v>
      </c>
      <c r="H172" s="1165">
        <v>525757</v>
      </c>
      <c r="I172" s="1165">
        <v>300339</v>
      </c>
      <c r="J172" s="1165">
        <v>4319</v>
      </c>
      <c r="K172" s="1165">
        <v>19457</v>
      </c>
      <c r="L172" s="1166">
        <v>0</v>
      </c>
      <c r="M172" s="1166">
        <v>515586</v>
      </c>
      <c r="N172" s="1166">
        <v>0</v>
      </c>
      <c r="O172" s="1166">
        <v>30005</v>
      </c>
      <c r="P172" s="1166">
        <v>58381</v>
      </c>
      <c r="Q172" s="1166">
        <v>0</v>
      </c>
      <c r="R172" s="1166">
        <v>244996</v>
      </c>
      <c r="S172" s="1166">
        <v>89618</v>
      </c>
      <c r="T172" s="1166">
        <v>1578306</v>
      </c>
      <c r="U172" s="1166">
        <v>0</v>
      </c>
      <c r="V172" s="1166">
        <v>320313</v>
      </c>
      <c r="W172" s="1166">
        <v>0</v>
      </c>
      <c r="X172" s="1166">
        <v>0</v>
      </c>
      <c r="Y172" s="1166">
        <v>0</v>
      </c>
      <c r="Z172" s="1166">
        <v>62214</v>
      </c>
      <c r="AA172" s="1166">
        <v>68282</v>
      </c>
      <c r="AB172" s="1166">
        <v>16916</v>
      </c>
      <c r="AC172" s="1166">
        <v>0</v>
      </c>
      <c r="AD172" s="1166">
        <v>538</v>
      </c>
      <c r="AE172" s="1166">
        <v>21505</v>
      </c>
      <c r="AF172" s="1166">
        <v>146205</v>
      </c>
      <c r="AG172" s="1166">
        <v>0</v>
      </c>
      <c r="AH172" s="1166">
        <v>0</v>
      </c>
      <c r="AI172" s="1166">
        <v>0</v>
      </c>
      <c r="AJ172" s="1166">
        <v>10705</v>
      </c>
      <c r="AK172" s="1166">
        <v>223120</v>
      </c>
      <c r="AL172" s="1166">
        <v>0</v>
      </c>
      <c r="AM172" s="1166">
        <v>0</v>
      </c>
      <c r="AN172" s="1166">
        <v>156551</v>
      </c>
      <c r="AO172" s="1166">
        <v>283118</v>
      </c>
      <c r="AP172" s="1166">
        <v>9199</v>
      </c>
      <c r="AQ172" s="1166">
        <v>0</v>
      </c>
      <c r="AR172" s="1166">
        <v>354999</v>
      </c>
      <c r="AS172" s="1166">
        <v>48103</v>
      </c>
      <c r="AT172" s="1166">
        <v>478</v>
      </c>
      <c r="AU172" s="1166">
        <v>57826</v>
      </c>
      <c r="AV172" s="1166">
        <v>265244</v>
      </c>
      <c r="AW172" s="1166">
        <v>0</v>
      </c>
      <c r="AX172" s="1166">
        <v>39803</v>
      </c>
      <c r="AY172" s="1166">
        <v>21272</v>
      </c>
      <c r="AZ172" s="1166">
        <v>9786</v>
      </c>
      <c r="BA172" s="1166">
        <v>0</v>
      </c>
      <c r="BB172" s="1166">
        <v>0</v>
      </c>
      <c r="BC172" s="1166">
        <v>7650</v>
      </c>
      <c r="BD172" s="1166">
        <v>0</v>
      </c>
      <c r="BE172" s="1166">
        <v>0</v>
      </c>
      <c r="BF172" s="1166">
        <v>537278</v>
      </c>
      <c r="BG172" s="1166">
        <v>0</v>
      </c>
      <c r="BH172" s="1166">
        <v>0</v>
      </c>
      <c r="BI172" s="1166">
        <v>8312</v>
      </c>
      <c r="BJ172" s="1166">
        <v>21155</v>
      </c>
      <c r="BK172" s="1166">
        <v>14018</v>
      </c>
      <c r="BL172" s="1166">
        <v>47398</v>
      </c>
      <c r="BM172" s="1166">
        <v>37328</v>
      </c>
      <c r="BN172" s="1166">
        <v>0</v>
      </c>
      <c r="BO172" s="1166">
        <v>210784</v>
      </c>
      <c r="BP172" s="1166">
        <v>16211</v>
      </c>
      <c r="BQ172" s="1166">
        <v>14539</v>
      </c>
      <c r="BR172" s="1166">
        <v>62608</v>
      </c>
      <c r="BS172" s="1166">
        <v>0</v>
      </c>
      <c r="BT172" s="1166">
        <v>0</v>
      </c>
      <c r="BU172" s="1166">
        <v>81296</v>
      </c>
      <c r="BV172" s="1166">
        <v>56598</v>
      </c>
      <c r="BW172" s="1166">
        <v>15381</v>
      </c>
      <c r="BX172" s="1166">
        <v>0</v>
      </c>
      <c r="BY172" s="1166">
        <v>0</v>
      </c>
      <c r="BZ172" s="1166">
        <v>0</v>
      </c>
      <c r="CA172" s="1166">
        <v>128484</v>
      </c>
      <c r="CB172" s="1166">
        <v>0</v>
      </c>
    </row>
    <row r="173" spans="1:80" s="1156" customFormat="1" x14ac:dyDescent="0.3">
      <c r="A173" s="1161">
        <v>523</v>
      </c>
      <c r="B173" s="1162">
        <v>523</v>
      </c>
      <c r="C173" s="1163" t="s">
        <v>285</v>
      </c>
      <c r="D173" s="1154" t="s">
        <v>490</v>
      </c>
      <c r="E173" s="1164">
        <v>0</v>
      </c>
      <c r="F173" s="1165">
        <v>0</v>
      </c>
      <c r="G173" s="1165">
        <v>0</v>
      </c>
      <c r="H173" s="1165">
        <v>89972794</v>
      </c>
      <c r="I173" s="1165">
        <v>156876</v>
      </c>
      <c r="J173" s="1165">
        <v>0</v>
      </c>
      <c r="K173" s="1165">
        <v>0</v>
      </c>
      <c r="L173" s="1166">
        <v>0</v>
      </c>
      <c r="M173" s="1166">
        <v>10248678</v>
      </c>
      <c r="N173" s="1166">
        <v>0</v>
      </c>
      <c r="O173" s="1166">
        <v>0</v>
      </c>
      <c r="P173" s="1166">
        <v>5535</v>
      </c>
      <c r="Q173" s="1166">
        <v>0</v>
      </c>
      <c r="R173" s="1166">
        <v>388147</v>
      </c>
      <c r="S173" s="1166">
        <v>319181</v>
      </c>
      <c r="T173" s="1166">
        <v>12770692</v>
      </c>
      <c r="U173" s="1166">
        <v>0</v>
      </c>
      <c r="V173" s="1166">
        <v>14630979</v>
      </c>
      <c r="W173" s="1166">
        <v>0</v>
      </c>
      <c r="X173" s="1166">
        <v>0</v>
      </c>
      <c r="Y173" s="1166">
        <v>0</v>
      </c>
      <c r="Z173" s="1166">
        <v>113837</v>
      </c>
      <c r="AA173" s="1166">
        <v>0</v>
      </c>
      <c r="AB173" s="1166">
        <v>0</v>
      </c>
      <c r="AC173" s="1166">
        <v>0</v>
      </c>
      <c r="AD173" s="1166">
        <v>0</v>
      </c>
      <c r="AE173" s="1166">
        <v>0</v>
      </c>
      <c r="AF173" s="1166">
        <v>120819</v>
      </c>
      <c r="AG173" s="1166">
        <v>0</v>
      </c>
      <c r="AH173" s="1166">
        <v>0</v>
      </c>
      <c r="AI173" s="1166">
        <v>0</v>
      </c>
      <c r="AJ173" s="1166">
        <v>0</v>
      </c>
      <c r="AK173" s="1166">
        <v>0</v>
      </c>
      <c r="AL173" s="1166">
        <v>73000</v>
      </c>
      <c r="AM173" s="1166">
        <v>0</v>
      </c>
      <c r="AN173" s="1166">
        <v>3210</v>
      </c>
      <c r="AO173" s="1166">
        <v>0</v>
      </c>
      <c r="AP173" s="1166">
        <v>0</v>
      </c>
      <c r="AQ173" s="1166">
        <v>0</v>
      </c>
      <c r="AR173" s="1166">
        <v>312581</v>
      </c>
      <c r="AS173" s="1166">
        <v>332151</v>
      </c>
      <c r="AT173" s="1166">
        <v>10586</v>
      </c>
      <c r="AU173" s="1166">
        <v>167451</v>
      </c>
      <c r="AV173" s="1166">
        <v>7257200</v>
      </c>
      <c r="AW173" s="1166">
        <v>71917</v>
      </c>
      <c r="AX173" s="1166">
        <v>12827</v>
      </c>
      <c r="AY173" s="1166">
        <v>0</v>
      </c>
      <c r="AZ173" s="1166">
        <v>0</v>
      </c>
      <c r="BA173" s="1166">
        <v>187727</v>
      </c>
      <c r="BB173" s="1166">
        <v>0</v>
      </c>
      <c r="BC173" s="1166">
        <v>16683</v>
      </c>
      <c r="BD173" s="1166">
        <v>0</v>
      </c>
      <c r="BE173" s="1166">
        <v>0</v>
      </c>
      <c r="BF173" s="1166">
        <v>8792857</v>
      </c>
      <c r="BG173" s="1166">
        <v>0</v>
      </c>
      <c r="BH173" s="1166">
        <v>0</v>
      </c>
      <c r="BI173" s="1166">
        <v>0</v>
      </c>
      <c r="BJ173" s="1166">
        <v>0</v>
      </c>
      <c r="BK173" s="1166">
        <v>0</v>
      </c>
      <c r="BL173" s="1166">
        <v>2550</v>
      </c>
      <c r="BM173" s="1166">
        <v>0</v>
      </c>
      <c r="BN173" s="1166">
        <v>0</v>
      </c>
      <c r="BO173" s="1166">
        <v>5233733</v>
      </c>
      <c r="BP173" s="1166">
        <v>192327</v>
      </c>
      <c r="BQ173" s="1166">
        <v>0</v>
      </c>
      <c r="BR173" s="1166">
        <v>237354</v>
      </c>
      <c r="BS173" s="1166">
        <v>0</v>
      </c>
      <c r="BT173" s="1166">
        <v>0</v>
      </c>
      <c r="BU173" s="1166">
        <v>250288</v>
      </c>
      <c r="BV173" s="1166">
        <v>0</v>
      </c>
      <c r="BW173" s="1166">
        <v>0</v>
      </c>
      <c r="BX173" s="1166">
        <v>0</v>
      </c>
      <c r="BY173" s="1166">
        <v>0</v>
      </c>
      <c r="BZ173" s="1166">
        <v>0</v>
      </c>
      <c r="CA173" s="1166">
        <v>3647356</v>
      </c>
      <c r="CB173" s="1166">
        <v>0</v>
      </c>
    </row>
    <row r="174" spans="1:80" s="1156" customFormat="1" x14ac:dyDescent="0.3">
      <c r="A174" s="1161">
        <v>524</v>
      </c>
      <c r="B174" s="1162">
        <v>524</v>
      </c>
      <c r="C174" s="1163" t="s">
        <v>286</v>
      </c>
      <c r="D174" s="1154" t="s">
        <v>491</v>
      </c>
      <c r="E174" s="1164">
        <v>0</v>
      </c>
      <c r="F174" s="1165">
        <v>0</v>
      </c>
      <c r="G174" s="1165">
        <v>0</v>
      </c>
      <c r="H174" s="1165">
        <v>81455286</v>
      </c>
      <c r="I174" s="1165">
        <v>6587993</v>
      </c>
      <c r="J174" s="1165">
        <v>1616923</v>
      </c>
      <c r="K174" s="1165">
        <v>5510948</v>
      </c>
      <c r="L174" s="1166">
        <v>2655180</v>
      </c>
      <c r="M174" s="1166">
        <v>38881642</v>
      </c>
      <c r="N174" s="1166">
        <v>0</v>
      </c>
      <c r="O174" s="1166">
        <v>3406128</v>
      </c>
      <c r="P174" s="1166">
        <v>2911926</v>
      </c>
      <c r="Q174" s="1166">
        <v>0</v>
      </c>
      <c r="R174" s="1166">
        <v>10202641</v>
      </c>
      <c r="S174" s="1166">
        <v>15080484</v>
      </c>
      <c r="T174" s="1166">
        <v>6430236</v>
      </c>
      <c r="U174" s="1166">
        <v>0</v>
      </c>
      <c r="V174" s="1166">
        <v>36000399</v>
      </c>
      <c r="W174" s="1166">
        <v>0</v>
      </c>
      <c r="X174" s="1166">
        <v>0</v>
      </c>
      <c r="Y174" s="1166">
        <v>0</v>
      </c>
      <c r="Z174" s="1166">
        <v>4116030</v>
      </c>
      <c r="AA174" s="1166">
        <v>8766302</v>
      </c>
      <c r="AB174" s="1166">
        <v>3968853</v>
      </c>
      <c r="AC174" s="1166">
        <v>0</v>
      </c>
      <c r="AD174" s="1166">
        <v>710589</v>
      </c>
      <c r="AE174" s="1166">
        <v>6864492</v>
      </c>
      <c r="AF174" s="1166">
        <v>8739643</v>
      </c>
      <c r="AG174" s="1166">
        <v>673142</v>
      </c>
      <c r="AH174" s="1166">
        <v>0</v>
      </c>
      <c r="AI174" s="1166">
        <v>0</v>
      </c>
      <c r="AJ174" s="1166">
        <v>1458864</v>
      </c>
      <c r="AK174" s="1166">
        <v>24403592</v>
      </c>
      <c r="AL174" s="1166">
        <v>737002</v>
      </c>
      <c r="AM174" s="1166">
        <v>0</v>
      </c>
      <c r="AN174" s="1166">
        <v>13179836</v>
      </c>
      <c r="AO174" s="1166">
        <v>28161218</v>
      </c>
      <c r="AP174" s="1166">
        <v>1163482</v>
      </c>
      <c r="AQ174" s="1166">
        <v>0</v>
      </c>
      <c r="AR174" s="1166">
        <v>39087683</v>
      </c>
      <c r="AS174" s="1166">
        <v>5932300</v>
      </c>
      <c r="AT174" s="1166">
        <v>1598033</v>
      </c>
      <c r="AU174" s="1166">
        <v>3185922</v>
      </c>
      <c r="AV174" s="1166">
        <v>29866936</v>
      </c>
      <c r="AW174" s="1166">
        <v>1176064</v>
      </c>
      <c r="AX174" s="1166">
        <v>3264682</v>
      </c>
      <c r="AY174" s="1166">
        <v>4713373</v>
      </c>
      <c r="AZ174" s="1166">
        <v>10046797</v>
      </c>
      <c r="BA174" s="1166">
        <v>14305362</v>
      </c>
      <c r="BB174" s="1166">
        <v>20457</v>
      </c>
      <c r="BC174" s="1166">
        <v>477405</v>
      </c>
      <c r="BD174" s="1166">
        <v>0</v>
      </c>
      <c r="BE174" s="1166">
        <v>0</v>
      </c>
      <c r="BF174" s="1166">
        <v>29876512</v>
      </c>
      <c r="BG174" s="1166">
        <v>0</v>
      </c>
      <c r="BH174" s="1166">
        <v>0</v>
      </c>
      <c r="BI174" s="1166">
        <v>7203144</v>
      </c>
      <c r="BJ174" s="1166">
        <v>3107743</v>
      </c>
      <c r="BK174" s="1166">
        <v>3706321</v>
      </c>
      <c r="BL174" s="1166">
        <v>10000991</v>
      </c>
      <c r="BM174" s="1166">
        <v>6170262</v>
      </c>
      <c r="BN174" s="1166">
        <v>0</v>
      </c>
      <c r="BO174" s="1166">
        <v>9803220</v>
      </c>
      <c r="BP174" s="1166">
        <v>7247171</v>
      </c>
      <c r="BQ174" s="1166">
        <v>7394576</v>
      </c>
      <c r="BR174" s="1166">
        <v>2117287</v>
      </c>
      <c r="BS174" s="1166">
        <v>0</v>
      </c>
      <c r="BT174" s="1166">
        <v>0</v>
      </c>
      <c r="BU174" s="1166">
        <v>1482933</v>
      </c>
      <c r="BV174" s="1166">
        <v>23580566</v>
      </c>
      <c r="BW174" s="1166">
        <v>2221094</v>
      </c>
      <c r="BX174" s="1166">
        <v>467650</v>
      </c>
      <c r="BY174" s="1166">
        <v>0</v>
      </c>
      <c r="BZ174" s="1166">
        <v>0</v>
      </c>
      <c r="CA174" s="1166">
        <v>16203596</v>
      </c>
      <c r="CB174" s="1166">
        <v>0</v>
      </c>
    </row>
    <row r="175" spans="1:80" s="1156" customFormat="1" x14ac:dyDescent="0.3">
      <c r="A175" s="1161">
        <v>525</v>
      </c>
      <c r="B175" s="1162">
        <v>525</v>
      </c>
      <c r="C175" s="1163" t="s">
        <v>287</v>
      </c>
      <c r="D175" s="1154" t="s">
        <v>492</v>
      </c>
      <c r="E175" s="1164">
        <v>0</v>
      </c>
      <c r="F175" s="1165">
        <v>0</v>
      </c>
      <c r="G175" s="1165">
        <v>0</v>
      </c>
      <c r="H175" s="1165">
        <v>0</v>
      </c>
      <c r="I175" s="1165">
        <v>0</v>
      </c>
      <c r="J175" s="1165">
        <v>0</v>
      </c>
      <c r="K175" s="1165">
        <v>0</v>
      </c>
      <c r="L175" s="1166">
        <v>0</v>
      </c>
      <c r="M175" s="1166">
        <v>0</v>
      </c>
      <c r="N175" s="1166">
        <v>0</v>
      </c>
      <c r="O175" s="1166">
        <v>0</v>
      </c>
      <c r="P175" s="1166">
        <v>0</v>
      </c>
      <c r="Q175" s="1166">
        <v>0</v>
      </c>
      <c r="R175" s="1166">
        <v>0</v>
      </c>
      <c r="S175" s="1166">
        <v>0</v>
      </c>
      <c r="T175" s="1166">
        <v>0</v>
      </c>
      <c r="U175" s="1166">
        <v>0</v>
      </c>
      <c r="V175" s="1166">
        <v>193791</v>
      </c>
      <c r="W175" s="1166">
        <v>0</v>
      </c>
      <c r="X175" s="1166">
        <v>0</v>
      </c>
      <c r="Y175" s="1166">
        <v>0</v>
      </c>
      <c r="Z175" s="1166">
        <v>0</v>
      </c>
      <c r="AA175" s="1166">
        <v>0</v>
      </c>
      <c r="AB175" s="1166">
        <v>0</v>
      </c>
      <c r="AC175" s="1166">
        <v>0</v>
      </c>
      <c r="AD175" s="1166">
        <v>0</v>
      </c>
      <c r="AE175" s="1166">
        <v>0</v>
      </c>
      <c r="AF175" s="1166">
        <v>0</v>
      </c>
      <c r="AG175" s="1166">
        <v>0</v>
      </c>
      <c r="AH175" s="1166">
        <v>0</v>
      </c>
      <c r="AI175" s="1166">
        <v>0</v>
      </c>
      <c r="AJ175" s="1166">
        <v>0</v>
      </c>
      <c r="AK175" s="1166">
        <v>0</v>
      </c>
      <c r="AL175" s="1166">
        <v>0</v>
      </c>
      <c r="AM175" s="1166">
        <v>0</v>
      </c>
      <c r="AN175" s="1166">
        <v>0</v>
      </c>
      <c r="AO175" s="1166">
        <v>0</v>
      </c>
      <c r="AP175" s="1166">
        <v>0</v>
      </c>
      <c r="AQ175" s="1166">
        <v>0</v>
      </c>
      <c r="AR175" s="1166">
        <v>0</v>
      </c>
      <c r="AS175" s="1166">
        <v>49513</v>
      </c>
      <c r="AT175" s="1166">
        <v>0</v>
      </c>
      <c r="AU175" s="1166">
        <v>0</v>
      </c>
      <c r="AV175" s="1166">
        <v>0</v>
      </c>
      <c r="AW175" s="1166">
        <v>0</v>
      </c>
      <c r="AX175" s="1166">
        <v>0</v>
      </c>
      <c r="AY175" s="1166">
        <v>0</v>
      </c>
      <c r="AZ175" s="1166">
        <v>0</v>
      </c>
      <c r="BA175" s="1166">
        <v>0</v>
      </c>
      <c r="BB175" s="1166">
        <v>0</v>
      </c>
      <c r="BC175" s="1166">
        <v>4012633</v>
      </c>
      <c r="BD175" s="1166">
        <v>0</v>
      </c>
      <c r="BE175" s="1166">
        <v>0</v>
      </c>
      <c r="BF175" s="1166">
        <v>0</v>
      </c>
      <c r="BG175" s="1166">
        <v>0</v>
      </c>
      <c r="BH175" s="1166">
        <v>0</v>
      </c>
      <c r="BI175" s="1166">
        <v>0</v>
      </c>
      <c r="BJ175" s="1166">
        <v>0</v>
      </c>
      <c r="BK175" s="1166">
        <v>0</v>
      </c>
      <c r="BL175" s="1166">
        <v>0</v>
      </c>
      <c r="BM175" s="1166">
        <v>0</v>
      </c>
      <c r="BN175" s="1166">
        <v>0</v>
      </c>
      <c r="BO175" s="1166">
        <v>0</v>
      </c>
      <c r="BP175" s="1166">
        <v>0</v>
      </c>
      <c r="BQ175" s="1166">
        <v>0</v>
      </c>
      <c r="BR175" s="1166">
        <v>0</v>
      </c>
      <c r="BS175" s="1166">
        <v>0</v>
      </c>
      <c r="BT175" s="1166">
        <v>0</v>
      </c>
      <c r="BU175" s="1166">
        <v>0</v>
      </c>
      <c r="BV175" s="1166">
        <v>0</v>
      </c>
      <c r="BW175" s="1166">
        <v>0</v>
      </c>
      <c r="BX175" s="1166">
        <v>0</v>
      </c>
      <c r="BY175" s="1166">
        <v>0</v>
      </c>
      <c r="BZ175" s="1166">
        <v>0</v>
      </c>
      <c r="CA175" s="1166">
        <v>0</v>
      </c>
      <c r="CB175" s="1166">
        <v>0</v>
      </c>
    </row>
    <row r="176" spans="1:80" s="1156" customFormat="1" x14ac:dyDescent="0.3">
      <c r="A176" s="1161">
        <v>526</v>
      </c>
      <c r="B176" s="1162">
        <v>526</v>
      </c>
      <c r="C176" s="1163" t="s">
        <v>288</v>
      </c>
      <c r="D176" s="1154" t="s">
        <v>493</v>
      </c>
      <c r="E176" s="1164">
        <v>0</v>
      </c>
      <c r="F176" s="1165">
        <v>0</v>
      </c>
      <c r="G176" s="1165">
        <v>0</v>
      </c>
      <c r="H176" s="1165">
        <v>8666547</v>
      </c>
      <c r="I176" s="1165">
        <v>4185120</v>
      </c>
      <c r="J176" s="1165">
        <v>66336</v>
      </c>
      <c r="K176" s="1165">
        <v>295197</v>
      </c>
      <c r="L176" s="1166">
        <v>0</v>
      </c>
      <c r="M176" s="1166">
        <v>3030414</v>
      </c>
      <c r="N176" s="1166">
        <v>0</v>
      </c>
      <c r="O176" s="1166">
        <v>375737</v>
      </c>
      <c r="P176" s="1166">
        <v>1576153</v>
      </c>
      <c r="Q176" s="1166">
        <v>0</v>
      </c>
      <c r="R176" s="1166">
        <v>4331397</v>
      </c>
      <c r="S176" s="1166">
        <v>1515981</v>
      </c>
      <c r="T176" s="1166">
        <v>43675997</v>
      </c>
      <c r="U176" s="1166">
        <v>0</v>
      </c>
      <c r="V176" s="1166">
        <v>5118995</v>
      </c>
      <c r="W176" s="1166">
        <v>0</v>
      </c>
      <c r="X176" s="1166">
        <v>0</v>
      </c>
      <c r="Y176" s="1166">
        <v>0</v>
      </c>
      <c r="Z176" s="1166">
        <v>718261</v>
      </c>
      <c r="AA176" s="1166">
        <v>928073</v>
      </c>
      <c r="AB176" s="1166">
        <v>427431</v>
      </c>
      <c r="AC176" s="1166">
        <v>0</v>
      </c>
      <c r="AD176" s="1166">
        <v>46425</v>
      </c>
      <c r="AE176" s="1166">
        <v>337776</v>
      </c>
      <c r="AF176" s="1166">
        <v>788890</v>
      </c>
      <c r="AG176" s="1166">
        <v>11089</v>
      </c>
      <c r="AH176" s="1166">
        <v>0</v>
      </c>
      <c r="AI176" s="1166">
        <v>0</v>
      </c>
      <c r="AJ176" s="1166">
        <v>114250</v>
      </c>
      <c r="AK176" s="1166">
        <v>3566944</v>
      </c>
      <c r="AL176" s="1166">
        <v>100717</v>
      </c>
      <c r="AM176" s="1166">
        <v>0</v>
      </c>
      <c r="AN176" s="1166">
        <v>3755216</v>
      </c>
      <c r="AO176" s="1166">
        <v>4162962</v>
      </c>
      <c r="AP176" s="1166">
        <v>36049</v>
      </c>
      <c r="AQ176" s="1166">
        <v>0</v>
      </c>
      <c r="AR176" s="1166">
        <v>2839197</v>
      </c>
      <c r="AS176" s="1166">
        <v>522058</v>
      </c>
      <c r="AT176" s="1166">
        <v>80666</v>
      </c>
      <c r="AU176" s="1166">
        <v>633905</v>
      </c>
      <c r="AV176" s="1166">
        <v>7858548</v>
      </c>
      <c r="AW176" s="1166">
        <v>20572</v>
      </c>
      <c r="AX176" s="1166">
        <v>224512</v>
      </c>
      <c r="AY176" s="1166">
        <v>98896</v>
      </c>
      <c r="AZ176" s="1166">
        <v>468606</v>
      </c>
      <c r="BA176" s="1166">
        <v>0</v>
      </c>
      <c r="BB176" s="1166">
        <v>0</v>
      </c>
      <c r="BC176" s="1166">
        <v>501344</v>
      </c>
      <c r="BD176" s="1166">
        <v>0</v>
      </c>
      <c r="BE176" s="1166">
        <v>0</v>
      </c>
      <c r="BF176" s="1166">
        <v>14346498</v>
      </c>
      <c r="BG176" s="1166">
        <v>0</v>
      </c>
      <c r="BH176" s="1166">
        <v>0</v>
      </c>
      <c r="BI176" s="1166">
        <v>1013057</v>
      </c>
      <c r="BJ176" s="1166">
        <v>209403</v>
      </c>
      <c r="BK176" s="1166">
        <v>296738</v>
      </c>
      <c r="BL176" s="1166">
        <v>1663736</v>
      </c>
      <c r="BM176" s="1166">
        <v>397690</v>
      </c>
      <c r="BN176" s="1166">
        <v>0</v>
      </c>
      <c r="BO176" s="1166">
        <v>3246377</v>
      </c>
      <c r="BP176" s="1166">
        <v>402165</v>
      </c>
      <c r="BQ176" s="1166">
        <v>101742</v>
      </c>
      <c r="BR176" s="1166">
        <v>610640</v>
      </c>
      <c r="BS176" s="1166">
        <v>0</v>
      </c>
      <c r="BT176" s="1166">
        <v>0</v>
      </c>
      <c r="BU176" s="1166">
        <v>2191496</v>
      </c>
      <c r="BV176" s="1166">
        <v>1128575</v>
      </c>
      <c r="BW176" s="1166">
        <v>318173</v>
      </c>
      <c r="BX176" s="1166">
        <v>0</v>
      </c>
      <c r="BY176" s="1166">
        <v>0</v>
      </c>
      <c r="BZ176" s="1166">
        <v>0</v>
      </c>
      <c r="CA176" s="1166">
        <v>1283656</v>
      </c>
      <c r="CB176" s="1166">
        <v>0</v>
      </c>
    </row>
    <row r="177" spans="1:80" s="1156" customFormat="1" x14ac:dyDescent="0.3">
      <c r="A177" s="1161">
        <v>527</v>
      </c>
      <c r="B177" s="1162">
        <v>527</v>
      </c>
      <c r="C177" s="1163" t="s">
        <v>289</v>
      </c>
      <c r="D177" s="1154" t="s">
        <v>494</v>
      </c>
      <c r="E177" s="1164">
        <v>0</v>
      </c>
      <c r="F177" s="1165">
        <v>0</v>
      </c>
      <c r="G177" s="1165">
        <v>0</v>
      </c>
      <c r="H177" s="1165">
        <v>0</v>
      </c>
      <c r="I177" s="1165">
        <v>0</v>
      </c>
      <c r="J177" s="1165">
        <v>0</v>
      </c>
      <c r="K177" s="1165">
        <v>0</v>
      </c>
      <c r="L177" s="1166">
        <v>0</v>
      </c>
      <c r="M177" s="1166">
        <v>0</v>
      </c>
      <c r="N177" s="1166">
        <v>0</v>
      </c>
      <c r="O177" s="1166">
        <v>0</v>
      </c>
      <c r="P177" s="1166">
        <v>0</v>
      </c>
      <c r="Q177" s="1166">
        <v>0</v>
      </c>
      <c r="R177" s="1166">
        <v>0</v>
      </c>
      <c r="S177" s="1166">
        <v>0</v>
      </c>
      <c r="T177" s="1166">
        <v>39890</v>
      </c>
      <c r="U177" s="1166">
        <v>0</v>
      </c>
      <c r="V177" s="1166">
        <v>11956485</v>
      </c>
      <c r="W177" s="1166">
        <v>0</v>
      </c>
      <c r="X177" s="1166">
        <v>0</v>
      </c>
      <c r="Y177" s="1166">
        <v>0</v>
      </c>
      <c r="Z177" s="1166">
        <v>0</v>
      </c>
      <c r="AA177" s="1166">
        <v>6000</v>
      </c>
      <c r="AB177" s="1166">
        <v>57889</v>
      </c>
      <c r="AC177" s="1166">
        <v>0</v>
      </c>
      <c r="AD177" s="1166">
        <v>0</v>
      </c>
      <c r="AE177" s="1166">
        <v>0</v>
      </c>
      <c r="AF177" s="1166">
        <v>1</v>
      </c>
      <c r="AG177" s="1166">
        <v>0</v>
      </c>
      <c r="AH177" s="1166">
        <v>0</v>
      </c>
      <c r="AI177" s="1166">
        <v>0</v>
      </c>
      <c r="AJ177" s="1166">
        <v>0</v>
      </c>
      <c r="AK177" s="1166">
        <v>2822249</v>
      </c>
      <c r="AL177" s="1166">
        <v>0</v>
      </c>
      <c r="AM177" s="1166">
        <v>0</v>
      </c>
      <c r="AN177" s="1166">
        <v>0</v>
      </c>
      <c r="AO177" s="1166">
        <v>0</v>
      </c>
      <c r="AP177" s="1166">
        <v>0</v>
      </c>
      <c r="AQ177" s="1166">
        <v>0</v>
      </c>
      <c r="AR177" s="1166">
        <v>637286</v>
      </c>
      <c r="AS177" s="1166">
        <v>0</v>
      </c>
      <c r="AT177" s="1166">
        <v>0</v>
      </c>
      <c r="AU177" s="1166">
        <v>0</v>
      </c>
      <c r="AV177" s="1166">
        <v>1730605</v>
      </c>
      <c r="AW177" s="1166">
        <v>0</v>
      </c>
      <c r="AX177" s="1166">
        <v>0</v>
      </c>
      <c r="AY177" s="1166">
        <v>0</v>
      </c>
      <c r="AZ177" s="1166">
        <v>0</v>
      </c>
      <c r="BA177" s="1166">
        <v>854042</v>
      </c>
      <c r="BB177" s="1166">
        <v>0</v>
      </c>
      <c r="BC177" s="1166">
        <v>0</v>
      </c>
      <c r="BD177" s="1166">
        <v>0</v>
      </c>
      <c r="BE177" s="1166">
        <v>0</v>
      </c>
      <c r="BF177" s="1166">
        <v>830073</v>
      </c>
      <c r="BG177" s="1166">
        <v>0</v>
      </c>
      <c r="BH177" s="1166">
        <v>0</v>
      </c>
      <c r="BI177" s="1166">
        <v>0</v>
      </c>
      <c r="BJ177" s="1166">
        <v>0</v>
      </c>
      <c r="BK177" s="1166">
        <v>0</v>
      </c>
      <c r="BL177" s="1166">
        <v>19800</v>
      </c>
      <c r="BM177" s="1166">
        <v>0</v>
      </c>
      <c r="BN177" s="1166">
        <v>0</v>
      </c>
      <c r="BO177" s="1166">
        <v>0</v>
      </c>
      <c r="BP177" s="1166">
        <v>0</v>
      </c>
      <c r="BQ177" s="1166">
        <v>0</v>
      </c>
      <c r="BR177" s="1166">
        <v>0</v>
      </c>
      <c r="BS177" s="1166">
        <v>0</v>
      </c>
      <c r="BT177" s="1166">
        <v>0</v>
      </c>
      <c r="BU177" s="1166">
        <v>0</v>
      </c>
      <c r="BV177" s="1166">
        <v>0</v>
      </c>
      <c r="BW177" s="1166">
        <v>0</v>
      </c>
      <c r="BX177" s="1166">
        <v>0</v>
      </c>
      <c r="BY177" s="1166">
        <v>0</v>
      </c>
      <c r="BZ177" s="1166">
        <v>0</v>
      </c>
      <c r="CA177" s="1166">
        <v>0</v>
      </c>
      <c r="CB177" s="1166">
        <v>0</v>
      </c>
    </row>
    <row r="178" spans="1:80" s="1156" customFormat="1" x14ac:dyDescent="0.3">
      <c r="A178" s="1161">
        <v>528</v>
      </c>
      <c r="B178" s="1162">
        <v>528</v>
      </c>
      <c r="C178" s="1163" t="s">
        <v>271</v>
      </c>
      <c r="D178" s="1154" t="s">
        <v>495</v>
      </c>
      <c r="E178" s="1164">
        <v>1058992</v>
      </c>
      <c r="F178" s="1165">
        <v>6784275</v>
      </c>
      <c r="G178" s="1165">
        <v>0</v>
      </c>
      <c r="H178" s="1165">
        <v>21381851</v>
      </c>
      <c r="I178" s="1165">
        <v>2103575</v>
      </c>
      <c r="J178" s="1165">
        <v>120068</v>
      </c>
      <c r="K178" s="1165">
        <v>571255</v>
      </c>
      <c r="L178" s="1166">
        <v>834677</v>
      </c>
      <c r="M178" s="1166">
        <v>25117695</v>
      </c>
      <c r="N178" s="1166">
        <v>21570</v>
      </c>
      <c r="O178" s="1166">
        <v>340651</v>
      </c>
      <c r="P178" s="1166">
        <v>898769</v>
      </c>
      <c r="Q178" s="1166">
        <v>16537342</v>
      </c>
      <c r="R178" s="1166">
        <v>8506599</v>
      </c>
      <c r="S178" s="1166">
        <v>2420233</v>
      </c>
      <c r="T178" s="1166">
        <v>7522651</v>
      </c>
      <c r="U178" s="1166">
        <v>0</v>
      </c>
      <c r="V178" s="1166">
        <v>8976362</v>
      </c>
      <c r="W178" s="1166">
        <v>7381</v>
      </c>
      <c r="X178" s="1166">
        <v>3895404</v>
      </c>
      <c r="Y178" s="1166">
        <v>7381490</v>
      </c>
      <c r="Z178" s="1166">
        <v>2984352</v>
      </c>
      <c r="AA178" s="1166">
        <v>603099</v>
      </c>
      <c r="AB178" s="1166">
        <v>2918359</v>
      </c>
      <c r="AC178" s="1166">
        <v>607745</v>
      </c>
      <c r="AD178" s="1166">
        <v>192503</v>
      </c>
      <c r="AE178" s="1166">
        <v>506898</v>
      </c>
      <c r="AF178" s="1166">
        <v>1458371</v>
      </c>
      <c r="AG178" s="1166">
        <v>28414</v>
      </c>
      <c r="AH178" s="1166">
        <v>8276</v>
      </c>
      <c r="AI178" s="1166">
        <v>33047</v>
      </c>
      <c r="AJ178" s="1166">
        <v>1778108</v>
      </c>
      <c r="AK178" s="1166">
        <v>2937515</v>
      </c>
      <c r="AL178" s="1166">
        <v>65231</v>
      </c>
      <c r="AM178" s="1166">
        <v>7804</v>
      </c>
      <c r="AN178" s="1166">
        <v>6047381</v>
      </c>
      <c r="AO178" s="1166">
        <v>8132478</v>
      </c>
      <c r="AP178" s="1166">
        <v>114884</v>
      </c>
      <c r="AQ178" s="1166">
        <v>2210036</v>
      </c>
      <c r="AR178" s="1166">
        <v>9722216</v>
      </c>
      <c r="AS178" s="1166">
        <v>1119214</v>
      </c>
      <c r="AT178" s="1166">
        <v>75260</v>
      </c>
      <c r="AU178" s="1166">
        <v>1684333</v>
      </c>
      <c r="AV178" s="1166">
        <v>5019459</v>
      </c>
      <c r="AW178" s="1166">
        <v>26101</v>
      </c>
      <c r="AX178" s="1166">
        <v>205920</v>
      </c>
      <c r="AY178" s="1166">
        <v>1514381</v>
      </c>
      <c r="AZ178" s="1166">
        <v>1580941</v>
      </c>
      <c r="BA178" s="1166">
        <v>1223742</v>
      </c>
      <c r="BB178" s="1166">
        <v>25052</v>
      </c>
      <c r="BC178" s="1166">
        <v>1322320</v>
      </c>
      <c r="BD178" s="1166">
        <v>0</v>
      </c>
      <c r="BE178" s="1166">
        <v>30348</v>
      </c>
      <c r="BF178" s="1166">
        <v>9530207</v>
      </c>
      <c r="BG178" s="1166">
        <v>0</v>
      </c>
      <c r="BH178" s="1166">
        <v>13390</v>
      </c>
      <c r="BI178" s="1166">
        <v>1637937</v>
      </c>
      <c r="BJ178" s="1166">
        <v>1678928</v>
      </c>
      <c r="BK178" s="1166">
        <v>162436</v>
      </c>
      <c r="BL178" s="1166">
        <v>6390125</v>
      </c>
      <c r="BM178" s="1166">
        <v>2109279</v>
      </c>
      <c r="BN178" s="1166">
        <v>0</v>
      </c>
      <c r="BO178" s="1166">
        <v>2624171</v>
      </c>
      <c r="BP178" s="1166">
        <v>524932</v>
      </c>
      <c r="BQ178" s="1166">
        <v>443148</v>
      </c>
      <c r="BR178" s="1166">
        <v>923138</v>
      </c>
      <c r="BS178" s="1166">
        <v>562689</v>
      </c>
      <c r="BT178" s="1166">
        <v>13106529</v>
      </c>
      <c r="BU178" s="1166">
        <v>684893</v>
      </c>
      <c r="BV178" s="1166">
        <v>1440331</v>
      </c>
      <c r="BW178" s="1166">
        <v>225204</v>
      </c>
      <c r="BX178" s="1166">
        <v>463274</v>
      </c>
      <c r="BY178" s="1166">
        <v>1812</v>
      </c>
      <c r="BZ178" s="1166">
        <v>8252</v>
      </c>
      <c r="CA178" s="1166">
        <v>10133364</v>
      </c>
      <c r="CB178" s="1166">
        <v>26674</v>
      </c>
    </row>
    <row r="179" spans="1:80" s="1156" customFormat="1" x14ac:dyDescent="0.3">
      <c r="A179" s="1161">
        <v>529</v>
      </c>
      <c r="B179" s="1162">
        <v>529</v>
      </c>
      <c r="C179" s="1163" t="s">
        <v>272</v>
      </c>
      <c r="D179" s="1154" t="s">
        <v>496</v>
      </c>
      <c r="E179" s="1164">
        <v>9373</v>
      </c>
      <c r="F179" s="1165">
        <v>860986</v>
      </c>
      <c r="G179" s="1165">
        <v>0</v>
      </c>
      <c r="H179" s="1165">
        <v>2147658</v>
      </c>
      <c r="I179" s="1165">
        <v>205866</v>
      </c>
      <c r="J179" s="1165">
        <v>25348</v>
      </c>
      <c r="K179" s="1165">
        <v>46462</v>
      </c>
      <c r="L179" s="1166">
        <v>129637</v>
      </c>
      <c r="M179" s="1166">
        <v>2502967</v>
      </c>
      <c r="N179" s="1166">
        <v>5046</v>
      </c>
      <c r="O179" s="1166">
        <v>33050</v>
      </c>
      <c r="P179" s="1166">
        <v>60033</v>
      </c>
      <c r="Q179" s="1166">
        <v>1654433</v>
      </c>
      <c r="R179" s="1166">
        <v>347931</v>
      </c>
      <c r="S179" s="1166">
        <v>312309</v>
      </c>
      <c r="T179" s="1166">
        <v>340753</v>
      </c>
      <c r="U179" s="1166">
        <v>0</v>
      </c>
      <c r="V179" s="1166">
        <v>1002920</v>
      </c>
      <c r="W179" s="1166">
        <v>1153</v>
      </c>
      <c r="X179" s="1166">
        <v>193139</v>
      </c>
      <c r="Y179" s="1166">
        <v>722452</v>
      </c>
      <c r="Z179" s="1166">
        <v>91499</v>
      </c>
      <c r="AA179" s="1166">
        <v>102832</v>
      </c>
      <c r="AB179" s="1166">
        <v>59598</v>
      </c>
      <c r="AC179" s="1166">
        <v>87704</v>
      </c>
      <c r="AD179" s="1166">
        <v>1049</v>
      </c>
      <c r="AE179" s="1166">
        <v>27995</v>
      </c>
      <c r="AF179" s="1166">
        <v>170936</v>
      </c>
      <c r="AG179" s="1166">
        <v>3344</v>
      </c>
      <c r="AH179" s="1166">
        <v>1344</v>
      </c>
      <c r="AI179" s="1166">
        <v>4880</v>
      </c>
      <c r="AJ179" s="1166">
        <v>108848</v>
      </c>
      <c r="AK179" s="1166">
        <v>371672</v>
      </c>
      <c r="AL179" s="1166">
        <v>13000</v>
      </c>
      <c r="AM179" s="1166">
        <v>1691</v>
      </c>
      <c r="AN179" s="1166">
        <v>554419</v>
      </c>
      <c r="AO179" s="1166">
        <v>769864</v>
      </c>
      <c r="AP179" s="1166">
        <v>22350</v>
      </c>
      <c r="AQ179" s="1166">
        <v>267226</v>
      </c>
      <c r="AR179" s="1166">
        <v>787096</v>
      </c>
      <c r="AS179" s="1166">
        <v>137925</v>
      </c>
      <c r="AT179" s="1166">
        <v>13814</v>
      </c>
      <c r="AU179" s="1166">
        <v>253793</v>
      </c>
      <c r="AV179" s="1166">
        <v>464197</v>
      </c>
      <c r="AW179" s="1166">
        <v>4017</v>
      </c>
      <c r="AX179" s="1166">
        <v>34260</v>
      </c>
      <c r="AY179" s="1166">
        <v>152954</v>
      </c>
      <c r="AZ179" s="1166">
        <v>177328</v>
      </c>
      <c r="BA179" s="1166">
        <v>86546</v>
      </c>
      <c r="BB179" s="1166">
        <v>3779</v>
      </c>
      <c r="BC179" s="1166">
        <v>128903</v>
      </c>
      <c r="BD179" s="1166">
        <v>0</v>
      </c>
      <c r="BE179" s="1166">
        <v>3194</v>
      </c>
      <c r="BF179" s="1166">
        <v>892457</v>
      </c>
      <c r="BG179" s="1166">
        <v>0</v>
      </c>
      <c r="BH179" s="1166">
        <v>1925</v>
      </c>
      <c r="BI179" s="1166">
        <v>118829</v>
      </c>
      <c r="BJ179" s="1166">
        <v>97882</v>
      </c>
      <c r="BK179" s="1166">
        <v>31011</v>
      </c>
      <c r="BL179" s="1166">
        <v>114048</v>
      </c>
      <c r="BM179" s="1166">
        <v>85031</v>
      </c>
      <c r="BN179" s="1166">
        <v>0</v>
      </c>
      <c r="BO179" s="1166">
        <v>209162</v>
      </c>
      <c r="BP179" s="1166">
        <v>52930</v>
      </c>
      <c r="BQ179" s="1166">
        <v>25608</v>
      </c>
      <c r="BR179" s="1166">
        <v>95350</v>
      </c>
      <c r="BS179" s="1166">
        <v>51314</v>
      </c>
      <c r="BT179" s="1166">
        <v>1460724</v>
      </c>
      <c r="BU179" s="1166">
        <v>107808</v>
      </c>
      <c r="BV179" s="1166">
        <v>94810</v>
      </c>
      <c r="BW179" s="1166">
        <v>36879</v>
      </c>
      <c r="BX179" s="1166">
        <v>33616</v>
      </c>
      <c r="BY179" s="1166">
        <v>185</v>
      </c>
      <c r="BZ179" s="1166">
        <v>1490</v>
      </c>
      <c r="CA179" s="1166">
        <v>721200</v>
      </c>
      <c r="CB179" s="1166">
        <v>6200</v>
      </c>
    </row>
    <row r="180" spans="1:80" s="1156" customFormat="1" x14ac:dyDescent="0.3">
      <c r="A180" s="1161">
        <v>530</v>
      </c>
      <c r="B180" s="1162">
        <v>530</v>
      </c>
      <c r="C180" s="1163" t="s">
        <v>273</v>
      </c>
      <c r="D180" s="1154" t="s">
        <v>497</v>
      </c>
      <c r="E180" s="1164">
        <v>2491</v>
      </c>
      <c r="F180" s="1165">
        <v>51083</v>
      </c>
      <c r="G180" s="1165">
        <v>0</v>
      </c>
      <c r="H180" s="1165">
        <v>183828</v>
      </c>
      <c r="I180" s="1165">
        <v>9976</v>
      </c>
      <c r="J180" s="1165">
        <v>17569</v>
      </c>
      <c r="K180" s="1165">
        <v>37768</v>
      </c>
      <c r="L180" s="1166">
        <v>29509</v>
      </c>
      <c r="M180" s="1166">
        <v>566398</v>
      </c>
      <c r="N180" s="1166">
        <v>1554</v>
      </c>
      <c r="O180" s="1166">
        <v>10582</v>
      </c>
      <c r="P180" s="1166">
        <v>12505</v>
      </c>
      <c r="Q180" s="1166">
        <v>77844</v>
      </c>
      <c r="R180" s="1166">
        <v>53667</v>
      </c>
      <c r="S180" s="1166">
        <v>40153</v>
      </c>
      <c r="T180" s="1166">
        <v>51506</v>
      </c>
      <c r="U180" s="1166">
        <v>0</v>
      </c>
      <c r="V180" s="1166">
        <v>241605</v>
      </c>
      <c r="W180" s="1166">
        <v>484</v>
      </c>
      <c r="X180" s="1166">
        <v>28724</v>
      </c>
      <c r="Y180" s="1166">
        <v>25420</v>
      </c>
      <c r="Z180" s="1166">
        <v>14558</v>
      </c>
      <c r="AA180" s="1166">
        <v>34190</v>
      </c>
      <c r="AB180" s="1166">
        <v>37814</v>
      </c>
      <c r="AC180" s="1166">
        <v>141</v>
      </c>
      <c r="AD180" s="1166">
        <v>3543</v>
      </c>
      <c r="AE180" s="1166">
        <v>4508</v>
      </c>
      <c r="AF180" s="1166">
        <v>48297</v>
      </c>
      <c r="AG180" s="1166">
        <v>3972</v>
      </c>
      <c r="AH180" s="1166">
        <v>520</v>
      </c>
      <c r="AI180" s="1166">
        <v>606</v>
      </c>
      <c r="AJ180" s="1166">
        <v>5970</v>
      </c>
      <c r="AK180" s="1166">
        <v>177051</v>
      </c>
      <c r="AL180" s="1166">
        <v>3522</v>
      </c>
      <c r="AM180" s="1166">
        <v>870</v>
      </c>
      <c r="AN180" s="1166">
        <v>34948</v>
      </c>
      <c r="AO180" s="1166">
        <v>337915</v>
      </c>
      <c r="AP180" s="1166">
        <v>6399</v>
      </c>
      <c r="AQ180" s="1166">
        <v>8970</v>
      </c>
      <c r="AR180" s="1166">
        <v>308721</v>
      </c>
      <c r="AS180" s="1166">
        <v>18054</v>
      </c>
      <c r="AT180" s="1166">
        <v>3765</v>
      </c>
      <c r="AU180" s="1166">
        <v>7484</v>
      </c>
      <c r="AV180" s="1166">
        <v>88580</v>
      </c>
      <c r="AW180" s="1166">
        <v>718</v>
      </c>
      <c r="AX180" s="1166">
        <v>13563</v>
      </c>
      <c r="AY180" s="1166">
        <v>23043</v>
      </c>
      <c r="AZ180" s="1166">
        <v>54573</v>
      </c>
      <c r="BA180" s="1166">
        <v>28896</v>
      </c>
      <c r="BB180" s="1166">
        <v>2553</v>
      </c>
      <c r="BC180" s="1166">
        <v>15494</v>
      </c>
      <c r="BD180" s="1166">
        <v>0</v>
      </c>
      <c r="BE180" s="1166">
        <v>1043</v>
      </c>
      <c r="BF180" s="1166">
        <v>575623</v>
      </c>
      <c r="BG180" s="1166">
        <v>0</v>
      </c>
      <c r="BH180" s="1166">
        <v>1230</v>
      </c>
      <c r="BI180" s="1166">
        <v>15570</v>
      </c>
      <c r="BJ180" s="1166">
        <v>45384</v>
      </c>
      <c r="BK180" s="1166">
        <v>22043</v>
      </c>
      <c r="BL180" s="1166">
        <v>15672</v>
      </c>
      <c r="BM180" s="1166">
        <v>27591</v>
      </c>
      <c r="BN180" s="1166">
        <v>0</v>
      </c>
      <c r="BO180" s="1166">
        <v>30098</v>
      </c>
      <c r="BP180" s="1166">
        <v>17132</v>
      </c>
      <c r="BQ180" s="1166">
        <v>13808</v>
      </c>
      <c r="BR180" s="1166">
        <v>13808</v>
      </c>
      <c r="BS180" s="1166">
        <v>2464</v>
      </c>
      <c r="BT180" s="1166">
        <v>125395</v>
      </c>
      <c r="BU180" s="1166">
        <v>110786</v>
      </c>
      <c r="BV180" s="1166">
        <v>11809</v>
      </c>
      <c r="BW180" s="1166">
        <v>13347</v>
      </c>
      <c r="BX180" s="1166">
        <v>2860</v>
      </c>
      <c r="BY180" s="1166">
        <v>90</v>
      </c>
      <c r="BZ180" s="1166">
        <v>211</v>
      </c>
      <c r="CA180" s="1166">
        <v>33910</v>
      </c>
      <c r="CB180" s="1166">
        <v>3002</v>
      </c>
    </row>
    <row r="181" spans="1:80" s="1156" customFormat="1" x14ac:dyDescent="0.3">
      <c r="A181" s="1161">
        <v>531</v>
      </c>
      <c r="B181" s="1162">
        <v>531</v>
      </c>
      <c r="C181" s="1163" t="s">
        <v>274</v>
      </c>
      <c r="D181" s="1154" t="s">
        <v>498</v>
      </c>
      <c r="E181" s="1164">
        <v>0</v>
      </c>
      <c r="F181" s="1165">
        <v>0</v>
      </c>
      <c r="G181" s="1165">
        <v>0</v>
      </c>
      <c r="H181" s="1165">
        <v>0</v>
      </c>
      <c r="I181" s="1165">
        <v>0</v>
      </c>
      <c r="J181" s="1165">
        <v>405</v>
      </c>
      <c r="K181" s="1165">
        <v>0</v>
      </c>
      <c r="L181" s="1166">
        <v>0</v>
      </c>
      <c r="M181" s="1166">
        <v>0</v>
      </c>
      <c r="N181" s="1166">
        <v>0</v>
      </c>
      <c r="O181" s="1166">
        <v>0</v>
      </c>
      <c r="P181" s="1166">
        <v>0</v>
      </c>
      <c r="Q181" s="1166">
        <v>0</v>
      </c>
      <c r="R181" s="1166">
        <v>0</v>
      </c>
      <c r="S181" s="1166">
        <v>0</v>
      </c>
      <c r="T181" s="1166">
        <v>0</v>
      </c>
      <c r="U181" s="1166">
        <v>0</v>
      </c>
      <c r="V181" s="1166">
        <v>0</v>
      </c>
      <c r="W181" s="1166">
        <v>0</v>
      </c>
      <c r="X181" s="1166">
        <v>0</v>
      </c>
      <c r="Y181" s="1166">
        <v>5366</v>
      </c>
      <c r="Z181" s="1166">
        <v>0</v>
      </c>
      <c r="AA181" s="1166">
        <v>0</v>
      </c>
      <c r="AB181" s="1166">
        <v>0</v>
      </c>
      <c r="AC181" s="1166">
        <v>0</v>
      </c>
      <c r="AD181" s="1166">
        <v>0</v>
      </c>
      <c r="AE181" s="1166">
        <v>0</v>
      </c>
      <c r="AF181" s="1166">
        <v>0</v>
      </c>
      <c r="AG181" s="1166">
        <v>0</v>
      </c>
      <c r="AH181" s="1166">
        <v>0</v>
      </c>
      <c r="AI181" s="1166">
        <v>0</v>
      </c>
      <c r="AJ181" s="1166">
        <v>0</v>
      </c>
      <c r="AK181" s="1166">
        <v>0</v>
      </c>
      <c r="AL181" s="1166">
        <v>0</v>
      </c>
      <c r="AM181" s="1166">
        <v>0</v>
      </c>
      <c r="AN181" s="1166">
        <v>0</v>
      </c>
      <c r="AO181" s="1166">
        <v>0</v>
      </c>
      <c r="AP181" s="1166">
        <v>0</v>
      </c>
      <c r="AQ181" s="1166">
        <v>0</v>
      </c>
      <c r="AR181" s="1166">
        <v>0</v>
      </c>
      <c r="AS181" s="1166">
        <v>341</v>
      </c>
      <c r="AT181" s="1166">
        <v>0</v>
      </c>
      <c r="AU181" s="1166">
        <v>0</v>
      </c>
      <c r="AV181" s="1166">
        <v>0</v>
      </c>
      <c r="AW181" s="1166">
        <v>5</v>
      </c>
      <c r="AX181" s="1166">
        <v>0</v>
      </c>
      <c r="AY181" s="1166">
        <v>0</v>
      </c>
      <c r="AZ181" s="1166">
        <v>0</v>
      </c>
      <c r="BA181" s="1166">
        <v>0</v>
      </c>
      <c r="BB181" s="1166">
        <v>0</v>
      </c>
      <c r="BC181" s="1166">
        <v>0</v>
      </c>
      <c r="BD181" s="1166">
        <v>0</v>
      </c>
      <c r="BE181" s="1166">
        <v>0</v>
      </c>
      <c r="BF181" s="1166">
        <v>0</v>
      </c>
      <c r="BG181" s="1166">
        <v>0</v>
      </c>
      <c r="BH181" s="1166">
        <v>0</v>
      </c>
      <c r="BI181" s="1166">
        <v>0</v>
      </c>
      <c r="BJ181" s="1166">
        <v>1183</v>
      </c>
      <c r="BK181" s="1166">
        <v>0</v>
      </c>
      <c r="BL181" s="1166">
        <v>0</v>
      </c>
      <c r="BM181" s="1166">
        <v>0</v>
      </c>
      <c r="BN181" s="1166">
        <v>0</v>
      </c>
      <c r="BO181" s="1166">
        <v>0</v>
      </c>
      <c r="BP181" s="1166">
        <v>0</v>
      </c>
      <c r="BQ181" s="1166">
        <v>0</v>
      </c>
      <c r="BR181" s="1166">
        <v>0</v>
      </c>
      <c r="BS181" s="1166">
        <v>0</v>
      </c>
      <c r="BT181" s="1166">
        <v>0</v>
      </c>
      <c r="BU181" s="1166">
        <v>894</v>
      </c>
      <c r="BV181" s="1166">
        <v>0</v>
      </c>
      <c r="BW181" s="1166">
        <v>0</v>
      </c>
      <c r="BX181" s="1166">
        <v>0</v>
      </c>
      <c r="BY181" s="1166">
        <v>0</v>
      </c>
      <c r="BZ181" s="1166">
        <v>0</v>
      </c>
      <c r="CA181" s="1166">
        <v>2810</v>
      </c>
      <c r="CB181" s="1166">
        <v>0</v>
      </c>
    </row>
    <row r="182" spans="1:80" s="1156" customFormat="1" x14ac:dyDescent="0.3">
      <c r="A182" s="1161">
        <v>532</v>
      </c>
      <c r="B182" s="1162">
        <v>532</v>
      </c>
      <c r="C182" s="1163" t="s">
        <v>568</v>
      </c>
      <c r="D182" s="1154" t="s">
        <v>499</v>
      </c>
      <c r="E182" s="1164">
        <v>2207275</v>
      </c>
      <c r="F182" s="1165">
        <v>13231217</v>
      </c>
      <c r="G182" s="1165">
        <v>0</v>
      </c>
      <c r="H182" s="1165">
        <v>40098876</v>
      </c>
      <c r="I182" s="1165">
        <v>4264437</v>
      </c>
      <c r="J182" s="1165">
        <v>257340</v>
      </c>
      <c r="K182" s="1165">
        <v>1277104</v>
      </c>
      <c r="L182" s="1166">
        <v>2008928</v>
      </c>
      <c r="M182" s="1166">
        <v>61424778</v>
      </c>
      <c r="N182" s="1166">
        <v>87797</v>
      </c>
      <c r="O182" s="1166">
        <v>970647</v>
      </c>
      <c r="P182" s="1166">
        <v>1846767</v>
      </c>
      <c r="Q182" s="1166">
        <v>34699294</v>
      </c>
      <c r="R182" s="1166">
        <v>18868288</v>
      </c>
      <c r="S182" s="1166">
        <v>7333878</v>
      </c>
      <c r="T182" s="1166">
        <v>14999292</v>
      </c>
      <c r="U182" s="1166">
        <v>0</v>
      </c>
      <c r="V182" s="1166">
        <v>21177465</v>
      </c>
      <c r="W182" s="1166">
        <v>32613</v>
      </c>
      <c r="X182" s="1166">
        <v>9410727</v>
      </c>
      <c r="Y182" s="1166">
        <v>15352653</v>
      </c>
      <c r="Z182" s="1166">
        <v>5760553</v>
      </c>
      <c r="AA182" s="1166">
        <v>1538509</v>
      </c>
      <c r="AB182" s="1166">
        <v>5819228</v>
      </c>
      <c r="AC182" s="1166">
        <v>1120712</v>
      </c>
      <c r="AD182" s="1166">
        <v>323967</v>
      </c>
      <c r="AE182" s="1166">
        <v>1161359</v>
      </c>
      <c r="AF182" s="1166">
        <v>3935299</v>
      </c>
      <c r="AG182" s="1166">
        <v>161924</v>
      </c>
      <c r="AH182" s="1166">
        <v>57495</v>
      </c>
      <c r="AI182" s="1166">
        <v>91285</v>
      </c>
      <c r="AJ182" s="1166">
        <v>2576362</v>
      </c>
      <c r="AK182" s="1166">
        <v>8322600</v>
      </c>
      <c r="AL182" s="1166">
        <v>183392</v>
      </c>
      <c r="AM182" s="1166">
        <v>26144</v>
      </c>
      <c r="AN182" s="1166">
        <v>19040445</v>
      </c>
      <c r="AO182" s="1166">
        <v>18003683</v>
      </c>
      <c r="AP182" s="1166">
        <v>301943</v>
      </c>
      <c r="AQ182" s="1166">
        <v>3861498</v>
      </c>
      <c r="AR182" s="1166">
        <v>25024079</v>
      </c>
      <c r="AS182" s="1166">
        <v>2679565</v>
      </c>
      <c r="AT182" s="1166">
        <v>1244841</v>
      </c>
      <c r="AU182" s="1166">
        <v>4881660</v>
      </c>
      <c r="AV182" s="1166">
        <v>11423000</v>
      </c>
      <c r="AW182" s="1166">
        <v>115739</v>
      </c>
      <c r="AX182" s="1166">
        <v>840880</v>
      </c>
      <c r="AY182" s="1166">
        <v>2915717</v>
      </c>
      <c r="AZ182" s="1166">
        <v>4225456</v>
      </c>
      <c r="BA182" s="1166">
        <v>4407949</v>
      </c>
      <c r="BB182" s="1166">
        <v>52028</v>
      </c>
      <c r="BC182" s="1166">
        <v>2494601</v>
      </c>
      <c r="BD182" s="1166">
        <v>0</v>
      </c>
      <c r="BE182" s="1166">
        <v>67554</v>
      </c>
      <c r="BF182" s="1166">
        <v>28872002</v>
      </c>
      <c r="BG182" s="1166">
        <v>0</v>
      </c>
      <c r="BH182" s="1166">
        <v>47685</v>
      </c>
      <c r="BI182" s="1166">
        <v>3009729</v>
      </c>
      <c r="BJ182" s="1166">
        <v>2485704</v>
      </c>
      <c r="BK182" s="1166">
        <v>701122</v>
      </c>
      <c r="BL182" s="1166">
        <v>9454369</v>
      </c>
      <c r="BM182" s="1166">
        <v>3969664</v>
      </c>
      <c r="BN182" s="1166">
        <v>40551</v>
      </c>
      <c r="BO182" s="1166">
        <v>6810370</v>
      </c>
      <c r="BP182" s="1166">
        <v>1565361</v>
      </c>
      <c r="BQ182" s="1166">
        <v>1043552</v>
      </c>
      <c r="BR182" s="1166">
        <v>1983298</v>
      </c>
      <c r="BS182" s="1166">
        <v>1093978</v>
      </c>
      <c r="BT182" s="1166">
        <v>24836255</v>
      </c>
      <c r="BU182" s="1166">
        <v>2013876</v>
      </c>
      <c r="BV182" s="1166">
        <v>2720361</v>
      </c>
      <c r="BW182" s="1166">
        <v>1305887</v>
      </c>
      <c r="BX182" s="1166">
        <v>782442</v>
      </c>
      <c r="BY182" s="1166">
        <v>31281</v>
      </c>
      <c r="BZ182" s="1166">
        <v>40519</v>
      </c>
      <c r="CA182" s="1166">
        <v>17009885</v>
      </c>
      <c r="CB182" s="1166">
        <v>157054</v>
      </c>
    </row>
    <row r="183" spans="1:80" s="1156" customFormat="1" x14ac:dyDescent="0.3">
      <c r="A183" s="1161">
        <v>533</v>
      </c>
      <c r="B183" s="1162">
        <v>533</v>
      </c>
      <c r="C183" s="1163" t="s">
        <v>569</v>
      </c>
      <c r="D183" s="1154" t="s">
        <v>500</v>
      </c>
      <c r="E183" s="1164">
        <v>282625</v>
      </c>
      <c r="F183" s="1165">
        <v>0</v>
      </c>
      <c r="G183" s="1165">
        <v>0</v>
      </c>
      <c r="H183" s="1165">
        <v>1267631</v>
      </c>
      <c r="I183" s="1165">
        <v>145680</v>
      </c>
      <c r="J183" s="1165">
        <v>0</v>
      </c>
      <c r="K183" s="1165">
        <v>0</v>
      </c>
      <c r="L183" s="1166">
        <v>0</v>
      </c>
      <c r="M183" s="1166">
        <v>17305000</v>
      </c>
      <c r="N183" s="1166">
        <v>0</v>
      </c>
      <c r="O183" s="1166">
        <v>0</v>
      </c>
      <c r="P183" s="1166">
        <v>70000</v>
      </c>
      <c r="Q183" s="1166">
        <v>1801519</v>
      </c>
      <c r="R183" s="1166">
        <v>1235727</v>
      </c>
      <c r="S183" s="1166">
        <v>320881</v>
      </c>
      <c r="T183" s="1166">
        <v>91134</v>
      </c>
      <c r="U183" s="1166">
        <v>0</v>
      </c>
      <c r="V183" s="1166">
        <v>1065890</v>
      </c>
      <c r="W183" s="1166">
        <v>0</v>
      </c>
      <c r="X183" s="1166">
        <v>0</v>
      </c>
      <c r="Y183" s="1166">
        <v>101491</v>
      </c>
      <c r="Z183" s="1166">
        <v>154859</v>
      </c>
      <c r="AA183" s="1166">
        <v>0</v>
      </c>
      <c r="AB183" s="1166">
        <v>114035</v>
      </c>
      <c r="AC183" s="1166">
        <v>0</v>
      </c>
      <c r="AD183" s="1166">
        <v>0</v>
      </c>
      <c r="AE183" s="1166">
        <v>0</v>
      </c>
      <c r="AF183" s="1166">
        <v>0</v>
      </c>
      <c r="AG183" s="1166">
        <v>0</v>
      </c>
      <c r="AH183" s="1166">
        <v>0</v>
      </c>
      <c r="AI183" s="1166">
        <v>0</v>
      </c>
      <c r="AJ183" s="1166">
        <v>0</v>
      </c>
      <c r="AK183" s="1166">
        <v>0</v>
      </c>
      <c r="AL183" s="1166">
        <v>0</v>
      </c>
      <c r="AM183" s="1166">
        <v>0</v>
      </c>
      <c r="AN183" s="1166">
        <v>665289</v>
      </c>
      <c r="AO183" s="1166">
        <v>0</v>
      </c>
      <c r="AP183" s="1166">
        <v>0</v>
      </c>
      <c r="AQ183" s="1166">
        <v>0</v>
      </c>
      <c r="AR183" s="1166">
        <v>0</v>
      </c>
      <c r="AS183" s="1166">
        <v>0</v>
      </c>
      <c r="AT183" s="1166">
        <v>590000</v>
      </c>
      <c r="AU183" s="1166">
        <v>100000</v>
      </c>
      <c r="AV183" s="1166">
        <v>559000</v>
      </c>
      <c r="AW183" s="1166">
        <v>0</v>
      </c>
      <c r="AX183" s="1166">
        <v>0</v>
      </c>
      <c r="AY183" s="1166">
        <v>0</v>
      </c>
      <c r="AZ183" s="1166">
        <v>152377</v>
      </c>
      <c r="BA183" s="1166">
        <v>500000</v>
      </c>
      <c r="BB183" s="1166">
        <v>0</v>
      </c>
      <c r="BC183" s="1166">
        <v>0</v>
      </c>
      <c r="BD183" s="1166">
        <v>0</v>
      </c>
      <c r="BE183" s="1166">
        <v>0</v>
      </c>
      <c r="BF183" s="1166">
        <v>1163660</v>
      </c>
      <c r="BG183" s="1166">
        <v>0</v>
      </c>
      <c r="BH183" s="1166">
        <v>0</v>
      </c>
      <c r="BI183" s="1166">
        <v>0</v>
      </c>
      <c r="BJ183" s="1166">
        <v>0</v>
      </c>
      <c r="BK183" s="1166">
        <v>0</v>
      </c>
      <c r="BL183" s="1166">
        <v>0</v>
      </c>
      <c r="BM183" s="1166">
        <v>0</v>
      </c>
      <c r="BN183" s="1166">
        <v>0</v>
      </c>
      <c r="BO183" s="1166">
        <v>0</v>
      </c>
      <c r="BP183" s="1166">
        <v>0</v>
      </c>
      <c r="BQ183" s="1166">
        <v>0</v>
      </c>
      <c r="BR183" s="1166">
        <v>0</v>
      </c>
      <c r="BS183" s="1166">
        <v>0</v>
      </c>
      <c r="BT183" s="1166">
        <v>370723</v>
      </c>
      <c r="BU183" s="1166">
        <v>0</v>
      </c>
      <c r="BV183" s="1166">
        <v>0</v>
      </c>
      <c r="BW183" s="1166">
        <v>0</v>
      </c>
      <c r="BX183" s="1166">
        <v>0</v>
      </c>
      <c r="BY183" s="1166">
        <v>0</v>
      </c>
      <c r="BZ183" s="1166">
        <v>0</v>
      </c>
      <c r="CA183" s="1166">
        <v>0</v>
      </c>
      <c r="CB183" s="1166">
        <v>0</v>
      </c>
    </row>
    <row r="184" spans="1:80" s="1156" customFormat="1" ht="28.8" x14ac:dyDescent="0.3">
      <c r="A184" s="1154"/>
      <c r="B184" s="1162">
        <v>534</v>
      </c>
      <c r="C184" s="1163" t="s">
        <v>275</v>
      </c>
      <c r="D184" s="1154" t="s">
        <v>501</v>
      </c>
      <c r="E184" s="1164"/>
      <c r="F184" s="1165"/>
      <c r="G184" s="1165"/>
      <c r="H184" s="1165"/>
      <c r="I184" s="1165"/>
      <c r="J184" s="1165"/>
      <c r="K184" s="1165"/>
      <c r="L184" s="1166"/>
      <c r="M184" s="1166"/>
      <c r="N184" s="1166"/>
      <c r="O184" s="1166"/>
      <c r="P184" s="1166"/>
      <c r="Q184" s="1166"/>
      <c r="R184" s="1166"/>
      <c r="S184" s="1166"/>
      <c r="T184" s="1166"/>
      <c r="U184" s="1166"/>
      <c r="V184" s="1166"/>
      <c r="W184" s="1166"/>
      <c r="X184" s="1166"/>
      <c r="Y184" s="1166"/>
      <c r="Z184" s="1166"/>
      <c r="AA184" s="1166"/>
      <c r="AB184" s="1166"/>
      <c r="AC184" s="1166"/>
      <c r="AD184" s="1166"/>
      <c r="AE184" s="1166"/>
      <c r="AF184" s="1166"/>
      <c r="AG184" s="1166"/>
      <c r="AH184" s="1166"/>
      <c r="AI184" s="1166"/>
      <c r="AJ184" s="1166"/>
      <c r="AK184" s="1166"/>
      <c r="AL184" s="1166"/>
      <c r="AM184" s="1166"/>
      <c r="AN184" s="1166"/>
      <c r="AO184" s="1166"/>
      <c r="AP184" s="1166"/>
      <c r="AQ184" s="1166"/>
      <c r="AR184" s="1166"/>
      <c r="AS184" s="1166"/>
      <c r="AT184" s="1166"/>
      <c r="AU184" s="1166"/>
      <c r="AV184" s="1166"/>
      <c r="AW184" s="1166"/>
      <c r="AX184" s="1166"/>
      <c r="AY184" s="1166"/>
      <c r="AZ184" s="1166"/>
      <c r="BA184" s="1166"/>
      <c r="BB184" s="1166"/>
      <c r="BC184" s="1166"/>
      <c r="BD184" s="1166"/>
      <c r="BE184" s="1166"/>
      <c r="BF184" s="1166"/>
      <c r="BG184" s="1166"/>
      <c r="BH184" s="1166"/>
      <c r="BI184" s="1166"/>
      <c r="BJ184" s="1166"/>
      <c r="BK184" s="1166"/>
      <c r="BL184" s="1166"/>
      <c r="BM184" s="1166"/>
      <c r="BN184" s="1166"/>
      <c r="BO184" s="1166"/>
      <c r="BP184" s="1166"/>
      <c r="BQ184" s="1166"/>
      <c r="BR184" s="1166"/>
      <c r="BS184" s="1166"/>
      <c r="BT184" s="1166"/>
      <c r="BU184" s="1166"/>
      <c r="BV184" s="1166"/>
      <c r="BW184" s="1166"/>
      <c r="BX184" s="1166"/>
      <c r="BY184" s="1166"/>
      <c r="BZ184" s="1166"/>
      <c r="CA184" s="1166"/>
      <c r="CB184" s="1166"/>
    </row>
    <row r="185" spans="1:80" s="1156" customFormat="1" x14ac:dyDescent="0.3">
      <c r="A185" s="1161">
        <v>535</v>
      </c>
      <c r="B185" s="1162">
        <v>535</v>
      </c>
      <c r="C185" s="1163" t="s">
        <v>253</v>
      </c>
      <c r="D185" s="1154" t="s">
        <v>502</v>
      </c>
      <c r="E185" s="1164">
        <v>0</v>
      </c>
      <c r="F185" s="1165">
        <v>3104887</v>
      </c>
      <c r="G185" s="1165">
        <v>0</v>
      </c>
      <c r="H185" s="1165">
        <v>3388210</v>
      </c>
      <c r="I185" s="1165">
        <v>0</v>
      </c>
      <c r="J185" s="1165">
        <v>0</v>
      </c>
      <c r="K185" s="1165">
        <v>0</v>
      </c>
      <c r="L185" s="1166">
        <v>0</v>
      </c>
      <c r="M185" s="1166">
        <v>5049629</v>
      </c>
      <c r="N185" s="1166">
        <v>0</v>
      </c>
      <c r="O185" s="1166">
        <v>0</v>
      </c>
      <c r="P185" s="1166">
        <v>0</v>
      </c>
      <c r="Q185" s="1166">
        <v>204668</v>
      </c>
      <c r="R185" s="1166">
        <v>958010</v>
      </c>
      <c r="S185" s="1166">
        <v>0</v>
      </c>
      <c r="T185" s="1166">
        <v>0</v>
      </c>
      <c r="U185" s="1166">
        <v>0</v>
      </c>
      <c r="V185" s="1166">
        <v>127328</v>
      </c>
      <c r="W185" s="1166">
        <v>0</v>
      </c>
      <c r="X185" s="1166">
        <v>0</v>
      </c>
      <c r="Y185" s="1166">
        <v>0</v>
      </c>
      <c r="Z185" s="1166">
        <v>175540</v>
      </c>
      <c r="AA185" s="1166">
        <v>0</v>
      </c>
      <c r="AB185" s="1166">
        <v>138199</v>
      </c>
      <c r="AC185" s="1166">
        <v>0</v>
      </c>
      <c r="AD185" s="1166">
        <v>0</v>
      </c>
      <c r="AE185" s="1166">
        <v>0</v>
      </c>
      <c r="AF185" s="1166">
        <v>0</v>
      </c>
      <c r="AG185" s="1166">
        <v>0</v>
      </c>
      <c r="AH185" s="1166">
        <v>0</v>
      </c>
      <c r="AI185" s="1166">
        <v>1</v>
      </c>
      <c r="AJ185" s="1166">
        <v>0</v>
      </c>
      <c r="AK185" s="1166">
        <v>8995</v>
      </c>
      <c r="AL185" s="1166">
        <v>1</v>
      </c>
      <c r="AM185" s="1166">
        <v>0</v>
      </c>
      <c r="AN185" s="1166">
        <v>4619702</v>
      </c>
      <c r="AO185" s="1166">
        <v>0</v>
      </c>
      <c r="AP185" s="1166">
        <v>0</v>
      </c>
      <c r="AQ185" s="1166">
        <v>0</v>
      </c>
      <c r="AR185" s="1166">
        <v>0</v>
      </c>
      <c r="AS185" s="1166">
        <v>0</v>
      </c>
      <c r="AT185" s="1166">
        <v>0</v>
      </c>
      <c r="AU185" s="1166">
        <v>0</v>
      </c>
      <c r="AV185" s="1166">
        <v>0</v>
      </c>
      <c r="AW185" s="1166">
        <v>0</v>
      </c>
      <c r="AX185" s="1166">
        <v>0</v>
      </c>
      <c r="AY185" s="1166">
        <v>0</v>
      </c>
      <c r="AZ185" s="1166">
        <v>0</v>
      </c>
      <c r="BA185" s="1166">
        <v>0</v>
      </c>
      <c r="BB185" s="1166">
        <v>0</v>
      </c>
      <c r="BC185" s="1166">
        <v>0</v>
      </c>
      <c r="BD185" s="1166">
        <v>0</v>
      </c>
      <c r="BE185" s="1166">
        <v>0</v>
      </c>
      <c r="BF185" s="1166">
        <v>1240992</v>
      </c>
      <c r="BG185" s="1166">
        <v>0</v>
      </c>
      <c r="BH185" s="1166">
        <v>0</v>
      </c>
      <c r="BI185" s="1166">
        <v>0</v>
      </c>
      <c r="BJ185" s="1166">
        <v>0</v>
      </c>
      <c r="BK185" s="1166">
        <v>542769</v>
      </c>
      <c r="BL185" s="1166">
        <v>0</v>
      </c>
      <c r="BM185" s="1166">
        <v>0</v>
      </c>
      <c r="BN185" s="1166">
        <v>0</v>
      </c>
      <c r="BO185" s="1166">
        <v>0</v>
      </c>
      <c r="BP185" s="1166">
        <v>0</v>
      </c>
      <c r="BQ185" s="1166">
        <v>0</v>
      </c>
      <c r="BR185" s="1166">
        <v>0</v>
      </c>
      <c r="BS185" s="1166">
        <v>0</v>
      </c>
      <c r="BT185" s="1166">
        <v>0</v>
      </c>
      <c r="BU185" s="1166">
        <v>1</v>
      </c>
      <c r="BV185" s="1166">
        <v>0</v>
      </c>
      <c r="BW185" s="1166">
        <v>0</v>
      </c>
      <c r="BX185" s="1166">
        <v>0</v>
      </c>
      <c r="BY185" s="1166">
        <v>1</v>
      </c>
      <c r="BZ185" s="1166">
        <v>0</v>
      </c>
      <c r="CA185" s="1166">
        <v>0</v>
      </c>
      <c r="CB185" s="1166">
        <v>0</v>
      </c>
    </row>
    <row r="186" spans="1:80" s="1156" customFormat="1" x14ac:dyDescent="0.3">
      <c r="A186" s="1161">
        <v>536</v>
      </c>
      <c r="B186" s="1162">
        <v>536</v>
      </c>
      <c r="C186" s="1163" t="s">
        <v>199</v>
      </c>
      <c r="D186" s="1154" t="s">
        <v>503</v>
      </c>
      <c r="E186" s="1164">
        <v>0</v>
      </c>
      <c r="F186" s="1165">
        <v>2401138</v>
      </c>
      <c r="G186" s="1165">
        <v>0</v>
      </c>
      <c r="H186" s="1165">
        <v>4370762</v>
      </c>
      <c r="I186" s="1165">
        <v>535603</v>
      </c>
      <c r="J186" s="1165">
        <v>109640</v>
      </c>
      <c r="K186" s="1165">
        <v>6901</v>
      </c>
      <c r="L186" s="1166">
        <v>43436</v>
      </c>
      <c r="M186" s="1166">
        <v>1531216</v>
      </c>
      <c r="N186" s="1166">
        <v>38638</v>
      </c>
      <c r="O186" s="1166">
        <v>164628</v>
      </c>
      <c r="P186" s="1166">
        <v>65274</v>
      </c>
      <c r="Q186" s="1166">
        <v>629098</v>
      </c>
      <c r="R186" s="1166">
        <v>3989100</v>
      </c>
      <c r="S186" s="1166">
        <v>16597</v>
      </c>
      <c r="T186" s="1166">
        <v>407133</v>
      </c>
      <c r="U186" s="1166">
        <v>0</v>
      </c>
      <c r="V186" s="1166">
        <v>0</v>
      </c>
      <c r="W186" s="1166">
        <v>102760</v>
      </c>
      <c r="X186" s="1166">
        <v>3308729</v>
      </c>
      <c r="Y186" s="1166">
        <v>963834</v>
      </c>
      <c r="Z186" s="1166">
        <v>344529</v>
      </c>
      <c r="AA186" s="1166">
        <v>340798</v>
      </c>
      <c r="AB186" s="1166">
        <v>7326</v>
      </c>
      <c r="AC186" s="1166">
        <v>247603</v>
      </c>
      <c r="AD186" s="1166">
        <v>46079</v>
      </c>
      <c r="AE186" s="1166">
        <v>222988</v>
      </c>
      <c r="AF186" s="1166">
        <v>549557</v>
      </c>
      <c r="AG186" s="1166">
        <v>18748</v>
      </c>
      <c r="AH186" s="1166">
        <v>5594</v>
      </c>
      <c r="AI186" s="1166">
        <v>162029</v>
      </c>
      <c r="AJ186" s="1166">
        <v>0</v>
      </c>
      <c r="AK186" s="1166">
        <v>24741</v>
      </c>
      <c r="AL186" s="1166">
        <v>43934</v>
      </c>
      <c r="AM186" s="1166">
        <v>0</v>
      </c>
      <c r="AN186" s="1166">
        <v>3972426</v>
      </c>
      <c r="AO186" s="1166">
        <v>0</v>
      </c>
      <c r="AP186" s="1166">
        <v>64898</v>
      </c>
      <c r="AQ186" s="1166">
        <v>730723</v>
      </c>
      <c r="AR186" s="1166">
        <v>103290</v>
      </c>
      <c r="AS186" s="1166">
        <v>305665</v>
      </c>
      <c r="AT186" s="1166">
        <v>27462</v>
      </c>
      <c r="AU186" s="1166">
        <v>142041</v>
      </c>
      <c r="AV186" s="1166">
        <v>369291</v>
      </c>
      <c r="AW186" s="1166">
        <v>3181</v>
      </c>
      <c r="AX186" s="1166">
        <v>194412</v>
      </c>
      <c r="AY186" s="1166">
        <v>321111</v>
      </c>
      <c r="AZ186" s="1166">
        <v>617678</v>
      </c>
      <c r="BA186" s="1166">
        <v>67700</v>
      </c>
      <c r="BB186" s="1166">
        <v>27627</v>
      </c>
      <c r="BC186" s="1166">
        <v>476510</v>
      </c>
      <c r="BD186" s="1166">
        <v>0</v>
      </c>
      <c r="BE186" s="1166">
        <v>8482</v>
      </c>
      <c r="BF186" s="1166">
        <v>1193288</v>
      </c>
      <c r="BG186" s="1166">
        <v>0</v>
      </c>
      <c r="BH186" s="1166">
        <v>23601</v>
      </c>
      <c r="BI186" s="1166">
        <v>7771</v>
      </c>
      <c r="BJ186" s="1166">
        <v>145974</v>
      </c>
      <c r="BK186" s="1166">
        <v>0</v>
      </c>
      <c r="BL186" s="1166">
        <v>199376</v>
      </c>
      <c r="BM186" s="1166">
        <v>67699</v>
      </c>
      <c r="BN186" s="1166">
        <v>0</v>
      </c>
      <c r="BO186" s="1166">
        <v>304084</v>
      </c>
      <c r="BP186" s="1166">
        <v>141279</v>
      </c>
      <c r="BQ186" s="1166">
        <v>147781</v>
      </c>
      <c r="BR186" s="1166">
        <v>179396</v>
      </c>
      <c r="BS186" s="1166">
        <v>51361</v>
      </c>
      <c r="BT186" s="1166">
        <v>569220</v>
      </c>
      <c r="BU186" s="1166">
        <v>28016</v>
      </c>
      <c r="BV186" s="1166">
        <v>248609</v>
      </c>
      <c r="BW186" s="1166">
        <v>38075</v>
      </c>
      <c r="BX186" s="1166">
        <v>99456</v>
      </c>
      <c r="BY186" s="1166">
        <v>20509</v>
      </c>
      <c r="BZ186" s="1166">
        <v>18656</v>
      </c>
      <c r="CA186" s="1166">
        <v>1057778</v>
      </c>
      <c r="CB186" s="1166">
        <v>9721</v>
      </c>
    </row>
    <row r="187" spans="1:80" s="1156" customFormat="1" ht="28.8" x14ac:dyDescent="0.3">
      <c r="A187" s="1161">
        <v>537</v>
      </c>
      <c r="B187" s="1174">
        <v>537</v>
      </c>
      <c r="C187" s="1175" t="s">
        <v>920</v>
      </c>
      <c r="D187" s="1176" t="s">
        <v>504</v>
      </c>
      <c r="E187" s="1169">
        <v>2</v>
      </c>
      <c r="F187" s="1170">
        <v>2</v>
      </c>
      <c r="G187" s="1170">
        <v>0</v>
      </c>
      <c r="H187" s="1170">
        <v>1</v>
      </c>
      <c r="I187" s="1170">
        <v>1</v>
      </c>
      <c r="J187" s="1170">
        <v>2</v>
      </c>
      <c r="K187" s="1170">
        <v>2</v>
      </c>
      <c r="L187" s="1171">
        <v>2</v>
      </c>
      <c r="M187" s="1171">
        <v>1</v>
      </c>
      <c r="N187" s="1171">
        <v>2</v>
      </c>
      <c r="O187" s="1171">
        <v>2</v>
      </c>
      <c r="P187" s="1171">
        <v>2</v>
      </c>
      <c r="Q187" s="1171">
        <v>2</v>
      </c>
      <c r="R187" s="1171">
        <v>1</v>
      </c>
      <c r="S187" s="1171">
        <v>2</v>
      </c>
      <c r="T187" s="1171">
        <v>2</v>
      </c>
      <c r="U187" s="1171">
        <v>0</v>
      </c>
      <c r="V187" s="1171">
        <v>2</v>
      </c>
      <c r="W187" s="1171">
        <v>2</v>
      </c>
      <c r="X187" s="1171">
        <v>2</v>
      </c>
      <c r="Y187" s="1171">
        <v>1</v>
      </c>
      <c r="Z187" s="1171">
        <v>1</v>
      </c>
      <c r="AA187" s="1171">
        <v>1</v>
      </c>
      <c r="AB187" s="1171">
        <v>2</v>
      </c>
      <c r="AC187" s="1171">
        <v>2</v>
      </c>
      <c r="AD187" s="1171">
        <v>1</v>
      </c>
      <c r="AE187" s="1171">
        <v>2</v>
      </c>
      <c r="AF187" s="1171">
        <v>2</v>
      </c>
      <c r="AG187" s="1171">
        <v>2</v>
      </c>
      <c r="AH187" s="1171">
        <v>2</v>
      </c>
      <c r="AI187" s="1171">
        <v>2</v>
      </c>
      <c r="AJ187" s="1171">
        <v>2</v>
      </c>
      <c r="AK187" s="1171">
        <v>2</v>
      </c>
      <c r="AL187" s="1171">
        <v>1</v>
      </c>
      <c r="AM187" s="1171">
        <v>2</v>
      </c>
      <c r="AN187" s="1171">
        <v>2</v>
      </c>
      <c r="AO187" s="1171">
        <v>1</v>
      </c>
      <c r="AP187" s="1171">
        <v>2</v>
      </c>
      <c r="AQ187" s="1171">
        <v>2</v>
      </c>
      <c r="AR187" s="1171">
        <v>1</v>
      </c>
      <c r="AS187" s="1171">
        <v>2</v>
      </c>
      <c r="AT187" s="1171">
        <v>1</v>
      </c>
      <c r="AU187" s="1171">
        <v>2</v>
      </c>
      <c r="AV187" s="1171">
        <v>2</v>
      </c>
      <c r="AW187" s="1171">
        <v>2</v>
      </c>
      <c r="AX187" s="1171">
        <v>2</v>
      </c>
      <c r="AY187" s="1171">
        <v>2</v>
      </c>
      <c r="AZ187" s="1171">
        <v>1</v>
      </c>
      <c r="BA187" s="1171">
        <v>2</v>
      </c>
      <c r="BB187" s="1171">
        <v>1</v>
      </c>
      <c r="BC187" s="1171">
        <v>1</v>
      </c>
      <c r="BD187" s="1171">
        <v>0</v>
      </c>
      <c r="BE187" s="1171">
        <v>2</v>
      </c>
      <c r="BF187" s="1171">
        <v>1</v>
      </c>
      <c r="BG187" s="1171">
        <v>0</v>
      </c>
      <c r="BH187" s="1171">
        <v>2</v>
      </c>
      <c r="BI187" s="1171">
        <v>2</v>
      </c>
      <c r="BJ187" s="1171">
        <v>2</v>
      </c>
      <c r="BK187" s="1171">
        <v>2</v>
      </c>
      <c r="BL187" s="1171">
        <v>1</v>
      </c>
      <c r="BM187" s="1171">
        <v>2</v>
      </c>
      <c r="BN187" s="1171">
        <v>2</v>
      </c>
      <c r="BO187" s="1171">
        <v>1</v>
      </c>
      <c r="BP187" s="1171">
        <v>1</v>
      </c>
      <c r="BQ187" s="1171">
        <v>1</v>
      </c>
      <c r="BR187" s="1171">
        <v>2</v>
      </c>
      <c r="BS187" s="1171">
        <v>2</v>
      </c>
      <c r="BT187" s="1171">
        <v>2</v>
      </c>
      <c r="BU187" s="1171">
        <v>2</v>
      </c>
      <c r="BV187" s="1171">
        <v>1</v>
      </c>
      <c r="BW187" s="1171">
        <v>2</v>
      </c>
      <c r="BX187" s="1171">
        <v>2</v>
      </c>
      <c r="BY187" s="1171">
        <v>2</v>
      </c>
      <c r="BZ187" s="1171">
        <v>2</v>
      </c>
      <c r="CA187" s="1171">
        <v>2</v>
      </c>
      <c r="CB187" s="1171">
        <v>2</v>
      </c>
    </row>
    <row r="188" spans="1:80" s="1156" customFormat="1" ht="28.8" x14ac:dyDescent="0.3">
      <c r="A188" s="1161">
        <v>538</v>
      </c>
      <c r="B188" s="1174">
        <v>538</v>
      </c>
      <c r="C188" s="1175" t="s">
        <v>921</v>
      </c>
      <c r="D188" s="1176" t="s">
        <v>505</v>
      </c>
      <c r="E188" s="1169">
        <v>2</v>
      </c>
      <c r="F188" s="1170">
        <v>2</v>
      </c>
      <c r="G188" s="1170">
        <v>0</v>
      </c>
      <c r="H188" s="1170">
        <v>1</v>
      </c>
      <c r="I188" s="1170">
        <v>2</v>
      </c>
      <c r="J188" s="1170">
        <v>1</v>
      </c>
      <c r="K188" s="1170">
        <v>2</v>
      </c>
      <c r="L188" s="1171">
        <v>2</v>
      </c>
      <c r="M188" s="1171">
        <v>2</v>
      </c>
      <c r="N188" s="1171">
        <v>2</v>
      </c>
      <c r="O188" s="1171">
        <v>2</v>
      </c>
      <c r="P188" s="1171">
        <v>2</v>
      </c>
      <c r="Q188" s="1171">
        <v>2</v>
      </c>
      <c r="R188" s="1171">
        <v>1</v>
      </c>
      <c r="S188" s="1171">
        <v>2</v>
      </c>
      <c r="T188" s="1171">
        <v>2</v>
      </c>
      <c r="U188" s="1171">
        <v>0</v>
      </c>
      <c r="V188" s="1171">
        <v>1</v>
      </c>
      <c r="W188" s="1171">
        <v>2</v>
      </c>
      <c r="X188" s="1171">
        <v>2</v>
      </c>
      <c r="Y188" s="1171">
        <v>1</v>
      </c>
      <c r="Z188" s="1171">
        <v>1</v>
      </c>
      <c r="AA188" s="1171">
        <v>2</v>
      </c>
      <c r="AB188" s="1171">
        <v>2</v>
      </c>
      <c r="AC188" s="1171">
        <v>2</v>
      </c>
      <c r="AD188" s="1171">
        <v>2</v>
      </c>
      <c r="AE188" s="1171">
        <v>2</v>
      </c>
      <c r="AF188" s="1171">
        <v>2</v>
      </c>
      <c r="AG188" s="1171">
        <v>1</v>
      </c>
      <c r="AH188" s="1171">
        <v>2</v>
      </c>
      <c r="AI188" s="1171">
        <v>2</v>
      </c>
      <c r="AJ188" s="1171">
        <v>1</v>
      </c>
      <c r="AK188" s="1171">
        <v>2</v>
      </c>
      <c r="AL188" s="1171">
        <v>2</v>
      </c>
      <c r="AM188" s="1171">
        <v>2</v>
      </c>
      <c r="AN188" s="1171">
        <v>2</v>
      </c>
      <c r="AO188" s="1171">
        <v>2</v>
      </c>
      <c r="AP188" s="1171">
        <v>2</v>
      </c>
      <c r="AQ188" s="1171">
        <v>2</v>
      </c>
      <c r="AR188" s="1171">
        <v>2</v>
      </c>
      <c r="AS188" s="1171">
        <v>2</v>
      </c>
      <c r="AT188" s="1171">
        <v>1</v>
      </c>
      <c r="AU188" s="1171">
        <v>1</v>
      </c>
      <c r="AV188" s="1171">
        <v>2</v>
      </c>
      <c r="AW188" s="1171">
        <v>2</v>
      </c>
      <c r="AX188" s="1171">
        <v>2</v>
      </c>
      <c r="AY188" s="1171">
        <v>2</v>
      </c>
      <c r="AZ188" s="1171">
        <v>1</v>
      </c>
      <c r="BA188" s="1171">
        <v>2</v>
      </c>
      <c r="BB188" s="1171">
        <v>1</v>
      </c>
      <c r="BC188" s="1171">
        <v>1</v>
      </c>
      <c r="BD188" s="1171">
        <v>0</v>
      </c>
      <c r="BE188" s="1171">
        <v>2</v>
      </c>
      <c r="BF188" s="1171">
        <v>2</v>
      </c>
      <c r="BG188" s="1171">
        <v>0</v>
      </c>
      <c r="BH188" s="1171">
        <v>2</v>
      </c>
      <c r="BI188" s="1171">
        <v>2</v>
      </c>
      <c r="BJ188" s="1171">
        <v>2</v>
      </c>
      <c r="BK188" s="1171">
        <v>2</v>
      </c>
      <c r="BL188" s="1171">
        <v>2</v>
      </c>
      <c r="BM188" s="1171">
        <v>2</v>
      </c>
      <c r="BN188" s="1171">
        <v>2</v>
      </c>
      <c r="BO188" s="1171">
        <v>1</v>
      </c>
      <c r="BP188" s="1171">
        <v>1</v>
      </c>
      <c r="BQ188" s="1171">
        <v>1</v>
      </c>
      <c r="BR188" s="1171">
        <v>2</v>
      </c>
      <c r="BS188" s="1171">
        <v>2</v>
      </c>
      <c r="BT188" s="1171">
        <v>2</v>
      </c>
      <c r="BU188" s="1171">
        <v>2</v>
      </c>
      <c r="BV188" s="1171">
        <v>1</v>
      </c>
      <c r="BW188" s="1171">
        <v>2</v>
      </c>
      <c r="BX188" s="1171">
        <v>2</v>
      </c>
      <c r="BY188" s="1171">
        <v>2</v>
      </c>
      <c r="BZ188" s="1171">
        <v>2</v>
      </c>
      <c r="CA188" s="1171">
        <v>2</v>
      </c>
      <c r="CB188" s="1171">
        <v>2</v>
      </c>
    </row>
    <row r="189" spans="1:80" s="1156" customFormat="1" ht="28.8" x14ac:dyDescent="0.3">
      <c r="A189" s="1161"/>
      <c r="B189" s="1174">
        <v>539</v>
      </c>
      <c r="C189" s="1177" t="s">
        <v>922</v>
      </c>
      <c r="D189" s="1176" t="s">
        <v>506</v>
      </c>
      <c r="E189" s="1164"/>
      <c r="F189" s="1165"/>
      <c r="G189" s="1165"/>
      <c r="H189" s="1165"/>
      <c r="I189" s="1165"/>
      <c r="J189" s="1165"/>
      <c r="K189" s="1165"/>
      <c r="L189" s="1166"/>
      <c r="M189" s="1166"/>
      <c r="N189" s="1166"/>
      <c r="O189" s="1166"/>
      <c r="P189" s="1166"/>
      <c r="Q189" s="1166"/>
      <c r="R189" s="1166"/>
      <c r="S189" s="1166"/>
      <c r="T189" s="1166"/>
      <c r="U189" s="1166"/>
      <c r="V189" s="1166"/>
      <c r="W189" s="1166"/>
      <c r="X189" s="1166"/>
      <c r="Y189" s="1166"/>
      <c r="Z189" s="1166"/>
      <c r="AA189" s="1166"/>
      <c r="AB189" s="1166"/>
      <c r="AC189" s="1166"/>
      <c r="AD189" s="1166"/>
      <c r="AE189" s="1166"/>
      <c r="AF189" s="1166"/>
      <c r="AG189" s="1166"/>
      <c r="AH189" s="1166"/>
      <c r="AI189" s="1166"/>
      <c r="AJ189" s="1166"/>
      <c r="AK189" s="1166"/>
      <c r="AL189" s="1166"/>
      <c r="AM189" s="1166"/>
      <c r="AN189" s="1166"/>
      <c r="AO189" s="1166"/>
      <c r="AP189" s="1166"/>
      <c r="AQ189" s="1166"/>
      <c r="AR189" s="1166"/>
      <c r="AS189" s="1166"/>
      <c r="AT189" s="1166"/>
      <c r="AU189" s="1166"/>
      <c r="AV189" s="1166"/>
      <c r="AW189" s="1166"/>
      <c r="AX189" s="1166"/>
      <c r="AY189" s="1166"/>
      <c r="AZ189" s="1166"/>
      <c r="BA189" s="1166"/>
      <c r="BB189" s="1166"/>
      <c r="BC189" s="1166"/>
      <c r="BD189" s="1166"/>
      <c r="BE189" s="1166"/>
      <c r="BF189" s="1166"/>
      <c r="BG189" s="1166"/>
      <c r="BH189" s="1166"/>
      <c r="BI189" s="1166"/>
      <c r="BJ189" s="1166"/>
      <c r="BK189" s="1166"/>
      <c r="BL189" s="1166"/>
      <c r="BM189" s="1166"/>
      <c r="BN189" s="1166"/>
      <c r="BO189" s="1166"/>
      <c r="BP189" s="1166"/>
      <c r="BQ189" s="1166"/>
      <c r="BR189" s="1166"/>
      <c r="BS189" s="1166"/>
      <c r="BT189" s="1166"/>
      <c r="BU189" s="1166"/>
      <c r="BV189" s="1166"/>
      <c r="BW189" s="1166"/>
      <c r="BX189" s="1166"/>
      <c r="BY189" s="1166"/>
      <c r="BZ189" s="1166"/>
      <c r="CA189" s="1166"/>
      <c r="CB189" s="1166"/>
    </row>
    <row r="190" spans="1:80" s="1156" customFormat="1" ht="28.8" x14ac:dyDescent="0.3">
      <c r="A190" s="1161">
        <v>540</v>
      </c>
      <c r="B190" s="1174">
        <v>540</v>
      </c>
      <c r="C190" s="1175" t="s">
        <v>923</v>
      </c>
      <c r="D190" s="1176" t="s">
        <v>507</v>
      </c>
      <c r="E190" s="1164">
        <v>0</v>
      </c>
      <c r="F190" s="1165">
        <v>0</v>
      </c>
      <c r="G190" s="1165">
        <v>0</v>
      </c>
      <c r="H190" s="1165">
        <v>2201186</v>
      </c>
      <c r="I190" s="1165">
        <v>1190299</v>
      </c>
      <c r="J190" s="1165">
        <v>49153</v>
      </c>
      <c r="K190" s="1165">
        <v>661717</v>
      </c>
      <c r="L190" s="1166">
        <v>43460</v>
      </c>
      <c r="M190" s="1166">
        <v>0</v>
      </c>
      <c r="N190" s="1166">
        <v>65608</v>
      </c>
      <c r="O190" s="1166">
        <v>0</v>
      </c>
      <c r="P190" s="1166">
        <v>83759</v>
      </c>
      <c r="Q190" s="1166">
        <v>0</v>
      </c>
      <c r="R190" s="1166">
        <v>1968195</v>
      </c>
      <c r="S190" s="1166">
        <v>162773</v>
      </c>
      <c r="T190" s="1166">
        <v>0</v>
      </c>
      <c r="U190" s="1166">
        <v>0</v>
      </c>
      <c r="V190" s="1166">
        <v>348833</v>
      </c>
      <c r="W190" s="1166">
        <v>10000</v>
      </c>
      <c r="X190" s="1166">
        <v>744424</v>
      </c>
      <c r="Y190" s="1166">
        <v>384546</v>
      </c>
      <c r="Z190" s="1166">
        <v>0</v>
      </c>
      <c r="AA190" s="1166">
        <v>0</v>
      </c>
      <c r="AB190" s="1166">
        <v>0</v>
      </c>
      <c r="AC190" s="1166">
        <v>0</v>
      </c>
      <c r="AD190" s="1166">
        <v>0</v>
      </c>
      <c r="AE190" s="1166">
        <v>0</v>
      </c>
      <c r="AF190" s="1166">
        <v>0</v>
      </c>
      <c r="AG190" s="1166">
        <v>0</v>
      </c>
      <c r="AH190" s="1166">
        <v>0</v>
      </c>
      <c r="AI190" s="1166">
        <v>0</v>
      </c>
      <c r="AJ190" s="1166">
        <v>80050</v>
      </c>
      <c r="AK190" s="1166">
        <v>542415</v>
      </c>
      <c r="AL190" s="1166">
        <v>0</v>
      </c>
      <c r="AM190" s="1166">
        <v>0</v>
      </c>
      <c r="AN190" s="1166">
        <v>0</v>
      </c>
      <c r="AO190" s="1166">
        <v>0</v>
      </c>
      <c r="AP190" s="1166">
        <v>0</v>
      </c>
      <c r="AQ190" s="1166">
        <v>230510</v>
      </c>
      <c r="AR190" s="1166">
        <v>1920720</v>
      </c>
      <c r="AS190" s="1166">
        <v>204146</v>
      </c>
      <c r="AT190" s="1166">
        <v>0</v>
      </c>
      <c r="AU190" s="1166">
        <v>0</v>
      </c>
      <c r="AV190" s="1166">
        <v>405000</v>
      </c>
      <c r="AW190" s="1166">
        <v>0</v>
      </c>
      <c r="AX190" s="1166">
        <v>0</v>
      </c>
      <c r="AY190" s="1166">
        <v>0</v>
      </c>
      <c r="AZ190" s="1166">
        <v>0</v>
      </c>
      <c r="BA190" s="1166">
        <v>0</v>
      </c>
      <c r="BB190" s="1166">
        <v>0</v>
      </c>
      <c r="BC190" s="1166">
        <v>0</v>
      </c>
      <c r="BD190" s="1166">
        <v>0</v>
      </c>
      <c r="BE190" s="1166">
        <v>41335</v>
      </c>
      <c r="BF190" s="1166">
        <v>2046175</v>
      </c>
      <c r="BG190" s="1166">
        <v>0</v>
      </c>
      <c r="BH190" s="1166">
        <v>0</v>
      </c>
      <c r="BI190" s="1166">
        <v>38000</v>
      </c>
      <c r="BJ190" s="1166">
        <v>72552</v>
      </c>
      <c r="BK190" s="1166">
        <v>0</v>
      </c>
      <c r="BL190" s="1166">
        <v>212392</v>
      </c>
      <c r="BM190" s="1166">
        <v>1050907</v>
      </c>
      <c r="BN190" s="1166">
        <v>0</v>
      </c>
      <c r="BO190" s="1166">
        <v>12534</v>
      </c>
      <c r="BP190" s="1166">
        <v>125000</v>
      </c>
      <c r="BQ190" s="1166">
        <v>510362</v>
      </c>
      <c r="BR190" s="1166">
        <v>297313</v>
      </c>
      <c r="BS190" s="1166">
        <v>0</v>
      </c>
      <c r="BT190" s="1166">
        <v>0</v>
      </c>
      <c r="BU190" s="1166">
        <v>424000</v>
      </c>
      <c r="BV190" s="1166">
        <v>0</v>
      </c>
      <c r="BW190" s="1166">
        <v>0</v>
      </c>
      <c r="BX190" s="1166">
        <v>0</v>
      </c>
      <c r="BY190" s="1166">
        <v>0</v>
      </c>
      <c r="BZ190" s="1166">
        <v>20000</v>
      </c>
      <c r="CA190" s="1166">
        <v>1823718</v>
      </c>
      <c r="CB190" s="1166">
        <v>0</v>
      </c>
    </row>
    <row r="191" spans="1:80" s="1156" customFormat="1" ht="28.8" x14ac:dyDescent="0.3">
      <c r="A191" s="1161">
        <v>541</v>
      </c>
      <c r="B191" s="1174">
        <v>541</v>
      </c>
      <c r="C191" s="1175" t="s">
        <v>924</v>
      </c>
      <c r="D191" s="1176" t="s">
        <v>508</v>
      </c>
      <c r="E191" s="1164">
        <v>0</v>
      </c>
      <c r="F191" s="1165">
        <v>0</v>
      </c>
      <c r="G191" s="1165">
        <v>0</v>
      </c>
      <c r="H191" s="1165">
        <v>5490048</v>
      </c>
      <c r="I191" s="1165">
        <v>1356361</v>
      </c>
      <c r="J191" s="1165">
        <v>-10334</v>
      </c>
      <c r="K191" s="1165">
        <v>301641</v>
      </c>
      <c r="L191" s="1166">
        <v>74066</v>
      </c>
      <c r="M191" s="1166">
        <v>560146</v>
      </c>
      <c r="N191" s="1166">
        <v>0</v>
      </c>
      <c r="O191" s="1166">
        <v>103614</v>
      </c>
      <c r="P191" s="1166">
        <v>25879</v>
      </c>
      <c r="Q191" s="1166">
        <v>0</v>
      </c>
      <c r="R191" s="1166">
        <v>-61761</v>
      </c>
      <c r="S191" s="1166">
        <v>307258</v>
      </c>
      <c r="T191" s="1166">
        <v>430772</v>
      </c>
      <c r="U191" s="1166">
        <v>0</v>
      </c>
      <c r="V191" s="1166">
        <v>1207289</v>
      </c>
      <c r="W191" s="1166">
        <v>0</v>
      </c>
      <c r="X191" s="1166">
        <v>0</v>
      </c>
      <c r="Y191" s="1166">
        <v>277</v>
      </c>
      <c r="Z191" s="1166">
        <v>123150</v>
      </c>
      <c r="AA191" s="1166">
        <v>253397</v>
      </c>
      <c r="AB191" s="1166">
        <v>185179</v>
      </c>
      <c r="AC191" s="1166">
        <v>0</v>
      </c>
      <c r="AD191" s="1166">
        <v>8655</v>
      </c>
      <c r="AE191" s="1166">
        <v>73039</v>
      </c>
      <c r="AF191" s="1166">
        <v>0</v>
      </c>
      <c r="AG191" s="1166">
        <v>-28212</v>
      </c>
      <c r="AH191" s="1166">
        <v>0</v>
      </c>
      <c r="AI191" s="1166">
        <v>0</v>
      </c>
      <c r="AJ191" s="1166">
        <v>49092</v>
      </c>
      <c r="AK191" s="1166">
        <v>949090</v>
      </c>
      <c r="AL191" s="1166">
        <v>4337</v>
      </c>
      <c r="AM191" s="1166">
        <v>0</v>
      </c>
      <c r="AN191" s="1166">
        <v>3649315</v>
      </c>
      <c r="AO191" s="1166">
        <v>1418989</v>
      </c>
      <c r="AP191" s="1166">
        <v>29579</v>
      </c>
      <c r="AQ191" s="1166">
        <v>0</v>
      </c>
      <c r="AR191" s="1166">
        <v>718673</v>
      </c>
      <c r="AS191" s="1166">
        <v>14952</v>
      </c>
      <c r="AT191" s="1166">
        <v>22524</v>
      </c>
      <c r="AU191" s="1166">
        <v>583869</v>
      </c>
      <c r="AV191" s="1166">
        <v>-1928907</v>
      </c>
      <c r="AW191" s="1166">
        <v>96762</v>
      </c>
      <c r="AX191" s="1166">
        <v>506185</v>
      </c>
      <c r="AY191" s="1166">
        <v>135469</v>
      </c>
      <c r="AZ191" s="1166">
        <v>282648</v>
      </c>
      <c r="BA191" s="1166">
        <v>-138085</v>
      </c>
      <c r="BB191" s="1166">
        <v>0</v>
      </c>
      <c r="BC191" s="1166">
        <v>87623</v>
      </c>
      <c r="BD191" s="1166">
        <v>0</v>
      </c>
      <c r="BE191" s="1166">
        <v>0</v>
      </c>
      <c r="BF191" s="1166">
        <v>94485</v>
      </c>
      <c r="BG191" s="1166">
        <v>0</v>
      </c>
      <c r="BH191" s="1166">
        <v>0</v>
      </c>
      <c r="BI191" s="1166">
        <v>-90360</v>
      </c>
      <c r="BJ191" s="1166">
        <v>117866</v>
      </c>
      <c r="BK191" s="1166">
        <v>0</v>
      </c>
      <c r="BL191" s="1166">
        <v>119318</v>
      </c>
      <c r="BM191" s="1166">
        <v>514211</v>
      </c>
      <c r="BN191" s="1166">
        <v>0</v>
      </c>
      <c r="BO191" s="1166">
        <v>164909</v>
      </c>
      <c r="BP191" s="1166">
        <v>236783</v>
      </c>
      <c r="BQ191" s="1166">
        <v>175989</v>
      </c>
      <c r="BR191" s="1166">
        <v>40510</v>
      </c>
      <c r="BS191" s="1166">
        <v>0</v>
      </c>
      <c r="BT191" s="1166">
        <v>0</v>
      </c>
      <c r="BU191" s="1166">
        <v>-10142</v>
      </c>
      <c r="BV191" s="1166">
        <v>58538</v>
      </c>
      <c r="BW191" s="1166">
        <v>73860</v>
      </c>
      <c r="BX191" s="1166">
        <v>259060</v>
      </c>
      <c r="BY191" s="1166">
        <v>0</v>
      </c>
      <c r="BZ191" s="1166">
        <v>0</v>
      </c>
      <c r="CA191" s="1166">
        <v>146315</v>
      </c>
      <c r="CB191" s="1166">
        <v>0</v>
      </c>
    </row>
    <row r="192" spans="1:80" s="1156" customFormat="1" ht="28.8" x14ac:dyDescent="0.3">
      <c r="A192" s="1161">
        <v>542</v>
      </c>
      <c r="B192" s="1174">
        <v>542</v>
      </c>
      <c r="C192" s="1175" t="s">
        <v>925</v>
      </c>
      <c r="D192" s="1176" t="s">
        <v>509</v>
      </c>
      <c r="E192" s="1164">
        <v>0</v>
      </c>
      <c r="F192" s="1165">
        <v>0</v>
      </c>
      <c r="G192" s="1165">
        <v>0</v>
      </c>
      <c r="H192" s="1165">
        <v>78115</v>
      </c>
      <c r="I192" s="1165">
        <v>1952065</v>
      </c>
      <c r="J192" s="1165">
        <v>0</v>
      </c>
      <c r="K192" s="1165">
        <v>0</v>
      </c>
      <c r="L192" s="1166">
        <v>0</v>
      </c>
      <c r="M192" s="1166">
        <v>0</v>
      </c>
      <c r="N192" s="1166">
        <v>0</v>
      </c>
      <c r="O192" s="1166">
        <v>0</v>
      </c>
      <c r="P192" s="1166">
        <v>93133</v>
      </c>
      <c r="Q192" s="1166">
        <v>0</v>
      </c>
      <c r="R192" s="1166">
        <v>0</v>
      </c>
      <c r="S192" s="1166">
        <v>0</v>
      </c>
      <c r="T192" s="1166">
        <v>0</v>
      </c>
      <c r="U192" s="1166">
        <v>0</v>
      </c>
      <c r="V192" s="1166">
        <v>0</v>
      </c>
      <c r="W192" s="1166">
        <v>0</v>
      </c>
      <c r="X192" s="1166">
        <v>0</v>
      </c>
      <c r="Y192" s="1166">
        <v>0</v>
      </c>
      <c r="Z192" s="1166">
        <v>0</v>
      </c>
      <c r="AA192" s="1166">
        <v>0</v>
      </c>
      <c r="AB192" s="1166">
        <v>0</v>
      </c>
      <c r="AC192" s="1166">
        <v>0</v>
      </c>
      <c r="AD192" s="1166">
        <v>0</v>
      </c>
      <c r="AE192" s="1166">
        <v>0</v>
      </c>
      <c r="AF192" s="1166">
        <v>0</v>
      </c>
      <c r="AG192" s="1166">
        <v>0</v>
      </c>
      <c r="AH192" s="1166">
        <v>0</v>
      </c>
      <c r="AI192" s="1166">
        <v>0</v>
      </c>
      <c r="AJ192" s="1166">
        <v>57950</v>
      </c>
      <c r="AK192" s="1166">
        <v>0</v>
      </c>
      <c r="AL192" s="1166">
        <v>0</v>
      </c>
      <c r="AM192" s="1166">
        <v>0</v>
      </c>
      <c r="AN192" s="1166">
        <v>0</v>
      </c>
      <c r="AO192" s="1166">
        <v>0</v>
      </c>
      <c r="AP192" s="1166">
        <v>0</v>
      </c>
      <c r="AQ192" s="1166">
        <v>0</v>
      </c>
      <c r="AR192" s="1166">
        <v>29246</v>
      </c>
      <c r="AS192" s="1166">
        <v>0</v>
      </c>
      <c r="AT192" s="1166">
        <v>0</v>
      </c>
      <c r="AU192" s="1166">
        <v>0</v>
      </c>
      <c r="AV192" s="1166">
        <v>0</v>
      </c>
      <c r="AW192" s="1166">
        <v>0</v>
      </c>
      <c r="AX192" s="1166">
        <v>0</v>
      </c>
      <c r="AY192" s="1166">
        <v>0</v>
      </c>
      <c r="AZ192" s="1166">
        <v>0</v>
      </c>
      <c r="BA192" s="1166">
        <v>0</v>
      </c>
      <c r="BB192" s="1166">
        <v>0</v>
      </c>
      <c r="BC192" s="1166">
        <v>0</v>
      </c>
      <c r="BD192" s="1166">
        <v>0</v>
      </c>
      <c r="BE192" s="1166">
        <v>0</v>
      </c>
      <c r="BF192" s="1166">
        <v>463330</v>
      </c>
      <c r="BG192" s="1166">
        <v>0</v>
      </c>
      <c r="BH192" s="1166">
        <v>0</v>
      </c>
      <c r="BI192" s="1166">
        <v>0</v>
      </c>
      <c r="BJ192" s="1166">
        <v>148454</v>
      </c>
      <c r="BK192" s="1166">
        <v>0</v>
      </c>
      <c r="BL192" s="1166">
        <v>179724</v>
      </c>
      <c r="BM192" s="1166">
        <v>299901</v>
      </c>
      <c r="BN192" s="1166">
        <v>0</v>
      </c>
      <c r="BO192" s="1166">
        <v>196995</v>
      </c>
      <c r="BP192" s="1166">
        <v>25000</v>
      </c>
      <c r="BQ192" s="1166">
        <v>0</v>
      </c>
      <c r="BR192" s="1166">
        <v>0</v>
      </c>
      <c r="BS192" s="1166">
        <v>0</v>
      </c>
      <c r="BT192" s="1166">
        <v>0</v>
      </c>
      <c r="BU192" s="1166">
        <v>0</v>
      </c>
      <c r="BV192" s="1166">
        <v>0</v>
      </c>
      <c r="BW192" s="1166">
        <v>0</v>
      </c>
      <c r="BX192" s="1166">
        <v>0</v>
      </c>
      <c r="BY192" s="1166">
        <v>0</v>
      </c>
      <c r="BZ192" s="1166">
        <v>0</v>
      </c>
      <c r="CA192" s="1166">
        <v>1900315</v>
      </c>
      <c r="CB192" s="1166">
        <v>0</v>
      </c>
    </row>
    <row r="193" spans="1:80" s="1156" customFormat="1" ht="43.2" x14ac:dyDescent="0.3">
      <c r="A193" s="1154"/>
      <c r="B193" s="1174">
        <v>543</v>
      </c>
      <c r="C193" s="1177" t="s">
        <v>926</v>
      </c>
      <c r="D193" s="1176" t="s">
        <v>510</v>
      </c>
      <c r="E193" s="1164">
        <v>0</v>
      </c>
      <c r="F193" s="1165">
        <v>0</v>
      </c>
      <c r="G193" s="1165">
        <v>0</v>
      </c>
      <c r="H193" s="1165">
        <v>0</v>
      </c>
      <c r="I193" s="1165">
        <v>0</v>
      </c>
      <c r="J193" s="1165">
        <v>0</v>
      </c>
      <c r="K193" s="1165">
        <v>0</v>
      </c>
      <c r="L193" s="1166">
        <v>0</v>
      </c>
      <c r="M193" s="1166">
        <v>0</v>
      </c>
      <c r="N193" s="1166">
        <v>0</v>
      </c>
      <c r="O193" s="1166">
        <v>0</v>
      </c>
      <c r="P193" s="1166">
        <v>0</v>
      </c>
      <c r="Q193" s="1166">
        <v>0</v>
      </c>
      <c r="R193" s="1166">
        <v>0</v>
      </c>
      <c r="S193" s="1166">
        <v>0</v>
      </c>
      <c r="T193" s="1166">
        <v>0</v>
      </c>
      <c r="U193" s="1166">
        <v>0</v>
      </c>
      <c r="V193" s="1166">
        <v>0</v>
      </c>
      <c r="W193" s="1166">
        <v>0</v>
      </c>
      <c r="X193" s="1166">
        <v>0</v>
      </c>
      <c r="Y193" s="1166">
        <v>0</v>
      </c>
      <c r="Z193" s="1166">
        <v>0</v>
      </c>
      <c r="AA193" s="1166">
        <v>0</v>
      </c>
      <c r="AB193" s="1166">
        <v>0</v>
      </c>
      <c r="AC193" s="1166">
        <v>0</v>
      </c>
      <c r="AD193" s="1166">
        <v>0</v>
      </c>
      <c r="AE193" s="1166">
        <v>0</v>
      </c>
      <c r="AF193" s="1166">
        <v>0</v>
      </c>
      <c r="AG193" s="1166">
        <v>0</v>
      </c>
      <c r="AH193" s="1166">
        <v>0</v>
      </c>
      <c r="AI193" s="1166">
        <v>0</v>
      </c>
      <c r="AJ193" s="1166">
        <v>0</v>
      </c>
      <c r="AK193" s="1166">
        <v>0</v>
      </c>
      <c r="AL193" s="1166">
        <v>0</v>
      </c>
      <c r="AM193" s="1166">
        <v>0</v>
      </c>
      <c r="AN193" s="1166">
        <v>0</v>
      </c>
      <c r="AO193" s="1166">
        <v>0</v>
      </c>
      <c r="AP193" s="1166">
        <v>0</v>
      </c>
      <c r="AQ193" s="1166">
        <v>0</v>
      </c>
      <c r="AR193" s="1166">
        <v>0</v>
      </c>
      <c r="AS193" s="1166">
        <v>0</v>
      </c>
      <c r="AT193" s="1166">
        <v>0</v>
      </c>
      <c r="AU193" s="1166">
        <v>0</v>
      </c>
      <c r="AV193" s="1166">
        <v>0</v>
      </c>
      <c r="AW193" s="1166">
        <v>0</v>
      </c>
      <c r="AX193" s="1166">
        <v>0</v>
      </c>
      <c r="AY193" s="1166">
        <v>0</v>
      </c>
      <c r="AZ193" s="1166">
        <v>0</v>
      </c>
      <c r="BA193" s="1166">
        <v>0</v>
      </c>
      <c r="BB193" s="1166">
        <v>0</v>
      </c>
      <c r="BC193" s="1166">
        <v>0</v>
      </c>
      <c r="BD193" s="1166">
        <v>0</v>
      </c>
      <c r="BE193" s="1166">
        <v>0</v>
      </c>
      <c r="BF193" s="1166">
        <v>0</v>
      </c>
      <c r="BG193" s="1166">
        <v>0</v>
      </c>
      <c r="BH193" s="1166">
        <v>0</v>
      </c>
      <c r="BI193" s="1166">
        <v>0</v>
      </c>
      <c r="BJ193" s="1166">
        <v>0</v>
      </c>
      <c r="BK193" s="1166">
        <v>0</v>
      </c>
      <c r="BL193" s="1166">
        <v>0</v>
      </c>
      <c r="BM193" s="1166">
        <v>0</v>
      </c>
      <c r="BN193" s="1166">
        <v>0</v>
      </c>
      <c r="BO193" s="1166">
        <v>0</v>
      </c>
      <c r="BP193" s="1166">
        <v>0</v>
      </c>
      <c r="BQ193" s="1166">
        <v>0</v>
      </c>
      <c r="BR193" s="1166">
        <v>0</v>
      </c>
      <c r="BS193" s="1166">
        <v>0</v>
      </c>
      <c r="BT193" s="1166">
        <v>0</v>
      </c>
      <c r="BU193" s="1166">
        <v>0</v>
      </c>
      <c r="BV193" s="1166">
        <v>0</v>
      </c>
      <c r="BW193" s="1166">
        <v>0</v>
      </c>
      <c r="BX193" s="1166">
        <v>0</v>
      </c>
      <c r="BY193" s="1166">
        <v>0</v>
      </c>
      <c r="BZ193" s="1166">
        <v>0</v>
      </c>
      <c r="CA193" s="1166">
        <v>0</v>
      </c>
      <c r="CB193" s="1166">
        <v>0</v>
      </c>
    </row>
    <row r="194" spans="1:80" s="1156" customFormat="1" x14ac:dyDescent="0.3">
      <c r="A194" s="1161">
        <v>544</v>
      </c>
      <c r="B194" s="1174">
        <v>544</v>
      </c>
      <c r="C194" s="1177" t="s">
        <v>53</v>
      </c>
      <c r="D194" s="1176" t="s">
        <v>511</v>
      </c>
      <c r="E194" s="1169">
        <v>0</v>
      </c>
      <c r="F194" s="1170">
        <v>0</v>
      </c>
      <c r="G194" s="1170">
        <v>0</v>
      </c>
      <c r="H194" s="1170">
        <v>0</v>
      </c>
      <c r="I194" s="1170">
        <v>0</v>
      </c>
      <c r="J194" s="1170">
        <v>0</v>
      </c>
      <c r="K194" s="1170">
        <v>0.01</v>
      </c>
      <c r="L194" s="1171">
        <v>0</v>
      </c>
      <c r="M194" s="1171">
        <v>0</v>
      </c>
      <c r="N194" s="1171">
        <v>0</v>
      </c>
      <c r="O194" s="1171">
        <v>0</v>
      </c>
      <c r="P194" s="1171">
        <v>0</v>
      </c>
      <c r="Q194" s="1171">
        <v>0</v>
      </c>
      <c r="R194" s="1171">
        <v>0</v>
      </c>
      <c r="S194" s="1171">
        <v>0</v>
      </c>
      <c r="T194" s="1171">
        <v>0</v>
      </c>
      <c r="U194" s="1171">
        <v>0</v>
      </c>
      <c r="V194" s="1171">
        <v>0.03</v>
      </c>
      <c r="W194" s="1171">
        <v>0</v>
      </c>
      <c r="X194" s="1171">
        <v>0</v>
      </c>
      <c r="Y194" s="1171">
        <v>0</v>
      </c>
      <c r="Z194" s="1171">
        <v>1</v>
      </c>
      <c r="AA194" s="1171">
        <v>0</v>
      </c>
      <c r="AB194" s="1171">
        <v>0</v>
      </c>
      <c r="AC194" s="1171">
        <v>0.01</v>
      </c>
      <c r="AD194" s="1171">
        <v>0</v>
      </c>
      <c r="AE194" s="1171">
        <v>0</v>
      </c>
      <c r="AF194" s="1171">
        <v>0</v>
      </c>
      <c r="AG194" s="1171">
        <v>0</v>
      </c>
      <c r="AH194" s="1171">
        <v>0</v>
      </c>
      <c r="AI194" s="1171">
        <v>0</v>
      </c>
      <c r="AJ194" s="1171">
        <v>0</v>
      </c>
      <c r="AK194" s="1171">
        <v>0</v>
      </c>
      <c r="AL194" s="1171">
        <v>0.12</v>
      </c>
      <c r="AM194" s="1171">
        <v>0</v>
      </c>
      <c r="AN194" s="1171">
        <v>0</v>
      </c>
      <c r="AO194" s="1171">
        <v>0</v>
      </c>
      <c r="AP194" s="1171">
        <v>0</v>
      </c>
      <c r="AQ194" s="1171">
        <v>0</v>
      </c>
      <c r="AR194" s="1171">
        <v>0</v>
      </c>
      <c r="AS194" s="1171">
        <v>0</v>
      </c>
      <c r="AT194" s="1171">
        <v>0</v>
      </c>
      <c r="AU194" s="1171">
        <v>0</v>
      </c>
      <c r="AV194" s="1171">
        <v>0</v>
      </c>
      <c r="AW194" s="1171">
        <v>0</v>
      </c>
      <c r="AX194" s="1171">
        <v>0</v>
      </c>
      <c r="AY194" s="1171">
        <v>0</v>
      </c>
      <c r="AZ194" s="1171">
        <v>0</v>
      </c>
      <c r="BA194" s="1171">
        <v>0</v>
      </c>
      <c r="BB194" s="1171">
        <v>0</v>
      </c>
      <c r="BC194" s="1171">
        <v>0</v>
      </c>
      <c r="BD194" s="1171">
        <v>0</v>
      </c>
      <c r="BE194" s="1171">
        <v>0</v>
      </c>
      <c r="BF194" s="1171">
        <v>0</v>
      </c>
      <c r="BG194" s="1171">
        <v>0</v>
      </c>
      <c r="BH194" s="1171">
        <v>0</v>
      </c>
      <c r="BI194" s="1171">
        <v>0</v>
      </c>
      <c r="BJ194" s="1171">
        <v>0</v>
      </c>
      <c r="BK194" s="1171">
        <v>0</v>
      </c>
      <c r="BL194" s="1171">
        <v>0</v>
      </c>
      <c r="BM194" s="1171">
        <v>0</v>
      </c>
      <c r="BN194" s="1171">
        <v>0</v>
      </c>
      <c r="BO194" s="1171">
        <v>0</v>
      </c>
      <c r="BP194" s="1171">
        <v>0</v>
      </c>
      <c r="BQ194" s="1171">
        <v>0</v>
      </c>
      <c r="BR194" s="1171">
        <v>0</v>
      </c>
      <c r="BS194" s="1171">
        <v>0</v>
      </c>
      <c r="BT194" s="1171">
        <v>0.28000000000000003</v>
      </c>
      <c r="BU194" s="1171">
        <v>0</v>
      </c>
      <c r="BV194" s="1171">
        <v>0</v>
      </c>
      <c r="BW194" s="1171">
        <v>0</v>
      </c>
      <c r="BX194" s="1171">
        <v>0</v>
      </c>
      <c r="BY194" s="1171">
        <v>0</v>
      </c>
      <c r="BZ194" s="1171">
        <v>0</v>
      </c>
      <c r="CA194" s="1171">
        <v>0</v>
      </c>
      <c r="CB194" s="1171">
        <v>0</v>
      </c>
    </row>
    <row r="195" spans="1:80" s="1156" customFormat="1" ht="28.8" x14ac:dyDescent="0.3">
      <c r="A195" s="1161">
        <v>545</v>
      </c>
      <c r="B195" s="1174">
        <v>545</v>
      </c>
      <c r="C195" s="1177" t="s">
        <v>54</v>
      </c>
      <c r="D195" s="1176" t="s">
        <v>512</v>
      </c>
      <c r="E195" s="1169">
        <v>0.03</v>
      </c>
      <c r="F195" s="1170">
        <v>0</v>
      </c>
      <c r="G195" s="1170">
        <v>0</v>
      </c>
      <c r="H195" s="1170">
        <v>0</v>
      </c>
      <c r="I195" s="1170">
        <v>0.02</v>
      </c>
      <c r="J195" s="1170">
        <v>0</v>
      </c>
      <c r="K195" s="1170">
        <v>0.01</v>
      </c>
      <c r="L195" s="1171">
        <v>0</v>
      </c>
      <c r="M195" s="1171">
        <v>0</v>
      </c>
      <c r="N195" s="1171">
        <v>0</v>
      </c>
      <c r="O195" s="1171">
        <v>0</v>
      </c>
      <c r="P195" s="1171">
        <v>0</v>
      </c>
      <c r="Q195" s="1171">
        <v>0</v>
      </c>
      <c r="R195" s="1171">
        <v>0</v>
      </c>
      <c r="S195" s="1171">
        <v>0</v>
      </c>
      <c r="T195" s="1171">
        <v>0</v>
      </c>
      <c r="U195" s="1171">
        <v>0</v>
      </c>
      <c r="V195" s="1171">
        <v>0</v>
      </c>
      <c r="W195" s="1171">
        <v>0</v>
      </c>
      <c r="X195" s="1171">
        <v>0</v>
      </c>
      <c r="Y195" s="1171">
        <v>-0.01</v>
      </c>
      <c r="Z195" s="1171">
        <v>0</v>
      </c>
      <c r="AA195" s="1171">
        <v>0</v>
      </c>
      <c r="AB195" s="1171">
        <v>0.06</v>
      </c>
      <c r="AC195" s="1171">
        <v>0</v>
      </c>
      <c r="AD195" s="1171">
        <v>0</v>
      </c>
      <c r="AE195" s="1171">
        <v>0</v>
      </c>
      <c r="AF195" s="1171">
        <v>0</v>
      </c>
      <c r="AG195" s="1171">
        <v>0</v>
      </c>
      <c r="AH195" s="1171">
        <v>0</v>
      </c>
      <c r="AI195" s="1171">
        <v>0</v>
      </c>
      <c r="AJ195" s="1171">
        <v>0</v>
      </c>
      <c r="AK195" s="1171">
        <v>0</v>
      </c>
      <c r="AL195" s="1171">
        <v>0</v>
      </c>
      <c r="AM195" s="1171">
        <v>0</v>
      </c>
      <c r="AN195" s="1171">
        <v>0</v>
      </c>
      <c r="AO195" s="1171">
        <v>0</v>
      </c>
      <c r="AP195" s="1171">
        <v>0</v>
      </c>
      <c r="AQ195" s="1171">
        <v>0</v>
      </c>
      <c r="AR195" s="1171">
        <v>0</v>
      </c>
      <c r="AS195" s="1171">
        <v>0</v>
      </c>
      <c r="AT195" s="1171">
        <v>0</v>
      </c>
      <c r="AU195" s="1171">
        <v>0</v>
      </c>
      <c r="AV195" s="1171">
        <v>0</v>
      </c>
      <c r="AW195" s="1171">
        <v>0</v>
      </c>
      <c r="AX195" s="1171">
        <v>0</v>
      </c>
      <c r="AY195" s="1171">
        <v>0</v>
      </c>
      <c r="AZ195" s="1171">
        <v>0</v>
      </c>
      <c r="BA195" s="1171">
        <v>0</v>
      </c>
      <c r="BB195" s="1171">
        <v>0</v>
      </c>
      <c r="BC195" s="1171">
        <v>0</v>
      </c>
      <c r="BD195" s="1171">
        <v>0</v>
      </c>
      <c r="BE195" s="1171">
        <v>0</v>
      </c>
      <c r="BF195" s="1171">
        <v>0</v>
      </c>
      <c r="BG195" s="1171">
        <v>0</v>
      </c>
      <c r="BH195" s="1171">
        <v>0</v>
      </c>
      <c r="BI195" s="1171">
        <v>0</v>
      </c>
      <c r="BJ195" s="1171">
        <v>0</v>
      </c>
      <c r="BK195" s="1171">
        <v>0</v>
      </c>
      <c r="BL195" s="1171">
        <v>0</v>
      </c>
      <c r="BM195" s="1171">
        <v>0</v>
      </c>
      <c r="BN195" s="1171">
        <v>0</v>
      </c>
      <c r="BO195" s="1171">
        <v>0</v>
      </c>
      <c r="BP195" s="1171">
        <v>0</v>
      </c>
      <c r="BQ195" s="1171">
        <v>0</v>
      </c>
      <c r="BR195" s="1171">
        <v>0</v>
      </c>
      <c r="BS195" s="1171">
        <v>0</v>
      </c>
      <c r="BT195" s="1171">
        <v>0</v>
      </c>
      <c r="BU195" s="1171">
        <v>0</v>
      </c>
      <c r="BV195" s="1171">
        <v>0</v>
      </c>
      <c r="BW195" s="1171">
        <v>0</v>
      </c>
      <c r="BX195" s="1171">
        <v>0</v>
      </c>
      <c r="BY195" s="1171">
        <v>0</v>
      </c>
      <c r="BZ195" s="1171">
        <v>0</v>
      </c>
      <c r="CA195" s="1171">
        <v>0</v>
      </c>
      <c r="CB195" s="1171">
        <v>0</v>
      </c>
    </row>
    <row r="196" spans="1:80" s="1156" customFormat="1" x14ac:dyDescent="0.3">
      <c r="A196" s="1154"/>
      <c r="B196" s="1174">
        <v>546</v>
      </c>
      <c r="C196" s="1177" t="s">
        <v>927</v>
      </c>
      <c r="D196" s="1176" t="s">
        <v>513</v>
      </c>
      <c r="E196" s="1164"/>
      <c r="F196" s="1165"/>
      <c r="G196" s="1165"/>
      <c r="H196" s="1165"/>
      <c r="I196" s="1165"/>
      <c r="J196" s="1165"/>
      <c r="K196" s="1165"/>
      <c r="L196" s="1166"/>
      <c r="M196" s="1166"/>
      <c r="N196" s="1166"/>
      <c r="O196" s="1166"/>
      <c r="P196" s="1166"/>
      <c r="Q196" s="1166"/>
      <c r="R196" s="1166"/>
      <c r="S196" s="1166"/>
      <c r="T196" s="1166"/>
      <c r="U196" s="1166"/>
      <c r="V196" s="1166"/>
      <c r="W196" s="1166"/>
      <c r="X196" s="1166"/>
      <c r="Y196" s="1166"/>
      <c r="Z196" s="1166"/>
      <c r="AA196" s="1166"/>
      <c r="AB196" s="1166"/>
      <c r="AC196" s="1166"/>
      <c r="AD196" s="1166"/>
      <c r="AE196" s="1166"/>
      <c r="AF196" s="1166"/>
      <c r="AG196" s="1166"/>
      <c r="AH196" s="1166"/>
      <c r="AI196" s="1166"/>
      <c r="AJ196" s="1166"/>
      <c r="AK196" s="1166"/>
      <c r="AL196" s="1166"/>
      <c r="AM196" s="1166"/>
      <c r="AN196" s="1166"/>
      <c r="AO196" s="1166"/>
      <c r="AP196" s="1166"/>
      <c r="AQ196" s="1166"/>
      <c r="AR196" s="1166"/>
      <c r="AS196" s="1166"/>
      <c r="AT196" s="1166"/>
      <c r="AU196" s="1166"/>
      <c r="AV196" s="1166"/>
      <c r="AW196" s="1166"/>
      <c r="AX196" s="1166"/>
      <c r="AY196" s="1166"/>
      <c r="AZ196" s="1166"/>
      <c r="BA196" s="1166"/>
      <c r="BB196" s="1166"/>
      <c r="BC196" s="1166"/>
      <c r="BD196" s="1166"/>
      <c r="BE196" s="1166"/>
      <c r="BF196" s="1166"/>
      <c r="BG196" s="1166"/>
      <c r="BH196" s="1166"/>
      <c r="BI196" s="1166"/>
      <c r="BJ196" s="1166"/>
      <c r="BK196" s="1166"/>
      <c r="BL196" s="1166"/>
      <c r="BM196" s="1166"/>
      <c r="BN196" s="1166"/>
      <c r="BO196" s="1166"/>
      <c r="BP196" s="1166"/>
      <c r="BQ196" s="1166"/>
      <c r="BR196" s="1166"/>
      <c r="BS196" s="1166"/>
      <c r="BT196" s="1166"/>
      <c r="BU196" s="1166"/>
      <c r="BV196" s="1166"/>
      <c r="BW196" s="1166"/>
      <c r="BX196" s="1166"/>
      <c r="BY196" s="1166"/>
      <c r="BZ196" s="1166"/>
      <c r="CA196" s="1166"/>
      <c r="CB196" s="1166"/>
    </row>
    <row r="197" spans="1:80" s="1156" customFormat="1" ht="72" x14ac:dyDescent="0.3">
      <c r="A197" s="1161">
        <v>547</v>
      </c>
      <c r="B197" s="1174">
        <v>547</v>
      </c>
      <c r="C197" s="1177" t="s">
        <v>1811</v>
      </c>
      <c r="D197" s="1176" t="s">
        <v>514</v>
      </c>
      <c r="E197" s="1164">
        <v>2</v>
      </c>
      <c r="F197" s="1165">
        <v>2</v>
      </c>
      <c r="G197" s="1165">
        <v>0</v>
      </c>
      <c r="H197" s="1165">
        <v>1</v>
      </c>
      <c r="I197" s="1165">
        <v>3</v>
      </c>
      <c r="J197" s="1165">
        <v>3</v>
      </c>
      <c r="K197" s="1165">
        <v>2</v>
      </c>
      <c r="L197" s="1166">
        <v>3</v>
      </c>
      <c r="M197" s="1166">
        <v>3</v>
      </c>
      <c r="N197" s="1166">
        <v>2</v>
      </c>
      <c r="O197" s="1166">
        <v>3</v>
      </c>
      <c r="P197" s="1166">
        <v>2</v>
      </c>
      <c r="Q197" s="1166">
        <v>3</v>
      </c>
      <c r="R197" s="1166">
        <v>3</v>
      </c>
      <c r="S197" s="1166">
        <v>3</v>
      </c>
      <c r="T197" s="1166">
        <v>3</v>
      </c>
      <c r="U197" s="1166">
        <v>0</v>
      </c>
      <c r="V197" s="1166">
        <v>3</v>
      </c>
      <c r="W197" s="1166">
        <v>2</v>
      </c>
      <c r="X197" s="1166">
        <v>3</v>
      </c>
      <c r="Y197" s="1166">
        <v>3</v>
      </c>
      <c r="Z197" s="1166">
        <v>3</v>
      </c>
      <c r="AA197" s="1166">
        <v>3</v>
      </c>
      <c r="AB197" s="1166">
        <v>4</v>
      </c>
      <c r="AC197" s="1166">
        <v>2</v>
      </c>
      <c r="AD197" s="1166">
        <v>2</v>
      </c>
      <c r="AE197" s="1166">
        <v>2</v>
      </c>
      <c r="AF197" s="1166">
        <v>2</v>
      </c>
      <c r="AG197" s="1166">
        <v>2</v>
      </c>
      <c r="AH197" s="1166">
        <v>2</v>
      </c>
      <c r="AI197" s="1166">
        <v>2</v>
      </c>
      <c r="AJ197" s="1166">
        <v>2</v>
      </c>
      <c r="AK197" s="1166">
        <v>3</v>
      </c>
      <c r="AL197" s="1166">
        <v>2</v>
      </c>
      <c r="AM197" s="1166">
        <v>2</v>
      </c>
      <c r="AN197" s="1166">
        <v>2</v>
      </c>
      <c r="AO197" s="1166">
        <v>3</v>
      </c>
      <c r="AP197" s="1166">
        <v>2</v>
      </c>
      <c r="AQ197" s="1166">
        <v>2</v>
      </c>
      <c r="AR197" s="1166">
        <v>3</v>
      </c>
      <c r="AS197" s="1166">
        <v>2</v>
      </c>
      <c r="AT197" s="1166">
        <v>3</v>
      </c>
      <c r="AU197" s="1166">
        <v>3</v>
      </c>
      <c r="AV197" s="1166">
        <v>3</v>
      </c>
      <c r="AW197" s="1166">
        <v>2</v>
      </c>
      <c r="AX197" s="1166">
        <v>2</v>
      </c>
      <c r="AY197" s="1166">
        <v>2</v>
      </c>
      <c r="AZ197" s="1166">
        <v>1</v>
      </c>
      <c r="BA197" s="1166">
        <v>3</v>
      </c>
      <c r="BB197" s="1166">
        <v>2</v>
      </c>
      <c r="BC197" s="1166">
        <v>3</v>
      </c>
      <c r="BD197" s="1166">
        <v>0</v>
      </c>
      <c r="BE197" s="1166">
        <v>2</v>
      </c>
      <c r="BF197" s="1166">
        <v>3</v>
      </c>
      <c r="BG197" s="1166">
        <v>0</v>
      </c>
      <c r="BH197" s="1166">
        <v>2</v>
      </c>
      <c r="BI197" s="1166">
        <v>3</v>
      </c>
      <c r="BJ197" s="1166">
        <v>3</v>
      </c>
      <c r="BK197" s="1166">
        <v>2</v>
      </c>
      <c r="BL197" s="1166">
        <v>3</v>
      </c>
      <c r="BM197" s="1166">
        <v>3</v>
      </c>
      <c r="BN197" s="1166">
        <v>2</v>
      </c>
      <c r="BO197" s="1166">
        <v>3</v>
      </c>
      <c r="BP197" s="1166">
        <v>2</v>
      </c>
      <c r="BQ197" s="1166">
        <v>2</v>
      </c>
      <c r="BR197" s="1166">
        <v>2</v>
      </c>
      <c r="BS197" s="1166">
        <v>2</v>
      </c>
      <c r="BT197" s="1166">
        <v>2</v>
      </c>
      <c r="BU197" s="1166">
        <v>2</v>
      </c>
      <c r="BV197" s="1166">
        <v>3</v>
      </c>
      <c r="BW197" s="1166">
        <v>2</v>
      </c>
      <c r="BX197" s="1166">
        <v>2</v>
      </c>
      <c r="BY197" s="1166">
        <v>2</v>
      </c>
      <c r="BZ197" s="1166">
        <v>2</v>
      </c>
      <c r="CA197" s="1166">
        <v>3</v>
      </c>
      <c r="CB197" s="1166">
        <v>2</v>
      </c>
    </row>
    <row r="198" spans="1:80" s="1156" customFormat="1" x14ac:dyDescent="0.3">
      <c r="A198" s="1154"/>
      <c r="B198" s="1174">
        <v>548</v>
      </c>
      <c r="C198" s="1178" t="s">
        <v>540</v>
      </c>
      <c r="D198" s="1176" t="s">
        <v>570</v>
      </c>
      <c r="E198" s="1164">
        <v>0</v>
      </c>
      <c r="F198" s="1165">
        <v>0</v>
      </c>
      <c r="G198" s="1165">
        <v>0</v>
      </c>
      <c r="H198" s="1165">
        <v>0</v>
      </c>
      <c r="I198" s="1165">
        <v>0</v>
      </c>
      <c r="J198" s="1165">
        <v>0</v>
      </c>
      <c r="K198" s="1165">
        <v>0</v>
      </c>
      <c r="L198" s="1166">
        <v>0</v>
      </c>
      <c r="M198" s="1166">
        <v>0</v>
      </c>
      <c r="N198" s="1166">
        <v>0</v>
      </c>
      <c r="O198" s="1166">
        <v>0</v>
      </c>
      <c r="P198" s="1166">
        <v>0</v>
      </c>
      <c r="Q198" s="1166">
        <v>0</v>
      </c>
      <c r="R198" s="1166">
        <v>0</v>
      </c>
      <c r="S198" s="1166">
        <v>0</v>
      </c>
      <c r="T198" s="1166">
        <v>0</v>
      </c>
      <c r="U198" s="1166">
        <v>0</v>
      </c>
      <c r="V198" s="1166">
        <v>0</v>
      </c>
      <c r="W198" s="1166">
        <v>0</v>
      </c>
      <c r="X198" s="1166">
        <v>0</v>
      </c>
      <c r="Y198" s="1166">
        <v>0</v>
      </c>
      <c r="Z198" s="1166">
        <v>0</v>
      </c>
      <c r="AA198" s="1166">
        <v>0</v>
      </c>
      <c r="AB198" s="1166">
        <v>0</v>
      </c>
      <c r="AC198" s="1166">
        <v>0</v>
      </c>
      <c r="AD198" s="1166">
        <v>0</v>
      </c>
      <c r="AE198" s="1166">
        <v>0</v>
      </c>
      <c r="AF198" s="1166">
        <v>0</v>
      </c>
      <c r="AG198" s="1166">
        <v>0</v>
      </c>
      <c r="AH198" s="1166">
        <v>0</v>
      </c>
      <c r="AI198" s="1166">
        <v>0</v>
      </c>
      <c r="AJ198" s="1166">
        <v>0</v>
      </c>
      <c r="AK198" s="1166">
        <v>0</v>
      </c>
      <c r="AL198" s="1166">
        <v>0</v>
      </c>
      <c r="AM198" s="1166">
        <v>0</v>
      </c>
      <c r="AN198" s="1166">
        <v>0</v>
      </c>
      <c r="AO198" s="1166">
        <v>0</v>
      </c>
      <c r="AP198" s="1166">
        <v>0</v>
      </c>
      <c r="AQ198" s="1166">
        <v>0</v>
      </c>
      <c r="AR198" s="1166">
        <v>0</v>
      </c>
      <c r="AS198" s="1166">
        <v>0</v>
      </c>
      <c r="AT198" s="1166">
        <v>0</v>
      </c>
      <c r="AU198" s="1166">
        <v>0</v>
      </c>
      <c r="AV198" s="1166">
        <v>0</v>
      </c>
      <c r="AW198" s="1166">
        <v>0</v>
      </c>
      <c r="AX198" s="1166">
        <v>0</v>
      </c>
      <c r="AY198" s="1166">
        <v>0</v>
      </c>
      <c r="AZ198" s="1166">
        <v>0</v>
      </c>
      <c r="BA198" s="1166">
        <v>0</v>
      </c>
      <c r="BB198" s="1166">
        <v>0</v>
      </c>
      <c r="BC198" s="1166">
        <v>0</v>
      </c>
      <c r="BD198" s="1166">
        <v>0</v>
      </c>
      <c r="BE198" s="1166">
        <v>0</v>
      </c>
      <c r="BF198" s="1166">
        <v>0</v>
      </c>
      <c r="BG198" s="1166">
        <v>0</v>
      </c>
      <c r="BH198" s="1166">
        <v>0</v>
      </c>
      <c r="BI198" s="1166">
        <v>0</v>
      </c>
      <c r="BJ198" s="1166">
        <v>0</v>
      </c>
      <c r="BK198" s="1166">
        <v>0</v>
      </c>
      <c r="BL198" s="1166">
        <v>0</v>
      </c>
      <c r="BM198" s="1166">
        <v>0</v>
      </c>
      <c r="BN198" s="1166">
        <v>0</v>
      </c>
      <c r="BO198" s="1166">
        <v>0</v>
      </c>
      <c r="BP198" s="1166">
        <v>0</v>
      </c>
      <c r="BQ198" s="1166">
        <v>0</v>
      </c>
      <c r="BR198" s="1166">
        <v>0</v>
      </c>
      <c r="BS198" s="1166">
        <v>0</v>
      </c>
      <c r="BT198" s="1166">
        <v>0</v>
      </c>
      <c r="BU198" s="1166">
        <v>0</v>
      </c>
      <c r="BV198" s="1166">
        <v>0</v>
      </c>
      <c r="BW198" s="1166">
        <v>0</v>
      </c>
      <c r="BX198" s="1166">
        <v>0</v>
      </c>
      <c r="BY198" s="1166">
        <v>0</v>
      </c>
      <c r="BZ198" s="1166">
        <v>0</v>
      </c>
      <c r="CA198" s="1166">
        <v>0</v>
      </c>
      <c r="CB198" s="1166">
        <v>0</v>
      </c>
    </row>
    <row r="199" spans="1:80" s="1156" customFormat="1" ht="27.6" x14ac:dyDescent="0.3">
      <c r="A199" s="1154"/>
      <c r="B199" s="1174">
        <v>549</v>
      </c>
      <c r="C199" s="1179" t="s">
        <v>928</v>
      </c>
      <c r="D199" s="1176" t="s">
        <v>571</v>
      </c>
      <c r="E199" s="1164">
        <v>0</v>
      </c>
      <c r="F199" s="1165">
        <v>0</v>
      </c>
      <c r="G199" s="1165">
        <v>0</v>
      </c>
      <c r="H199" s="1165">
        <v>0</v>
      </c>
      <c r="I199" s="1165">
        <v>0</v>
      </c>
      <c r="J199" s="1165">
        <v>0</v>
      </c>
      <c r="K199" s="1165">
        <v>0</v>
      </c>
      <c r="L199" s="1166">
        <v>0</v>
      </c>
      <c r="M199" s="1166">
        <v>0</v>
      </c>
      <c r="N199" s="1166">
        <v>0</v>
      </c>
      <c r="O199" s="1166">
        <v>0</v>
      </c>
      <c r="P199" s="1166">
        <v>0</v>
      </c>
      <c r="Q199" s="1166">
        <v>0</v>
      </c>
      <c r="R199" s="1166">
        <v>0</v>
      </c>
      <c r="S199" s="1166">
        <v>0</v>
      </c>
      <c r="T199" s="1166">
        <v>0</v>
      </c>
      <c r="U199" s="1166">
        <v>0</v>
      </c>
      <c r="V199" s="1166">
        <v>0</v>
      </c>
      <c r="W199" s="1166">
        <v>0</v>
      </c>
      <c r="X199" s="1166">
        <v>0</v>
      </c>
      <c r="Y199" s="1166">
        <v>0</v>
      </c>
      <c r="Z199" s="1166">
        <v>0</v>
      </c>
      <c r="AA199" s="1166">
        <v>0</v>
      </c>
      <c r="AB199" s="1166">
        <v>0</v>
      </c>
      <c r="AC199" s="1166">
        <v>0</v>
      </c>
      <c r="AD199" s="1166">
        <v>0</v>
      </c>
      <c r="AE199" s="1166">
        <v>0</v>
      </c>
      <c r="AF199" s="1166">
        <v>0</v>
      </c>
      <c r="AG199" s="1166">
        <v>0</v>
      </c>
      <c r="AH199" s="1166">
        <v>0</v>
      </c>
      <c r="AI199" s="1166">
        <v>0</v>
      </c>
      <c r="AJ199" s="1166">
        <v>0</v>
      </c>
      <c r="AK199" s="1166">
        <v>0</v>
      </c>
      <c r="AL199" s="1166">
        <v>0</v>
      </c>
      <c r="AM199" s="1166">
        <v>0</v>
      </c>
      <c r="AN199" s="1166">
        <v>0</v>
      </c>
      <c r="AO199" s="1166">
        <v>0</v>
      </c>
      <c r="AP199" s="1166">
        <v>0</v>
      </c>
      <c r="AQ199" s="1166">
        <v>0</v>
      </c>
      <c r="AR199" s="1166">
        <v>0</v>
      </c>
      <c r="AS199" s="1166">
        <v>0</v>
      </c>
      <c r="AT199" s="1166">
        <v>0</v>
      </c>
      <c r="AU199" s="1166">
        <v>0</v>
      </c>
      <c r="AV199" s="1166">
        <v>0</v>
      </c>
      <c r="AW199" s="1166">
        <v>0</v>
      </c>
      <c r="AX199" s="1166">
        <v>0</v>
      </c>
      <c r="AY199" s="1166">
        <v>0</v>
      </c>
      <c r="AZ199" s="1166">
        <v>0</v>
      </c>
      <c r="BA199" s="1166">
        <v>0</v>
      </c>
      <c r="BB199" s="1166">
        <v>0</v>
      </c>
      <c r="BC199" s="1166">
        <v>0</v>
      </c>
      <c r="BD199" s="1166">
        <v>0</v>
      </c>
      <c r="BE199" s="1166">
        <v>0</v>
      </c>
      <c r="BF199" s="1166">
        <v>0</v>
      </c>
      <c r="BG199" s="1166">
        <v>0</v>
      </c>
      <c r="BH199" s="1166">
        <v>0</v>
      </c>
      <c r="BI199" s="1166">
        <v>0</v>
      </c>
      <c r="BJ199" s="1166">
        <v>0</v>
      </c>
      <c r="BK199" s="1166">
        <v>0</v>
      </c>
      <c r="BL199" s="1166">
        <v>0</v>
      </c>
      <c r="BM199" s="1166">
        <v>0</v>
      </c>
      <c r="BN199" s="1166">
        <v>0</v>
      </c>
      <c r="BO199" s="1166">
        <v>0</v>
      </c>
      <c r="BP199" s="1166">
        <v>0</v>
      </c>
      <c r="BQ199" s="1166">
        <v>0</v>
      </c>
      <c r="BR199" s="1166">
        <v>0</v>
      </c>
      <c r="BS199" s="1166">
        <v>0</v>
      </c>
      <c r="BT199" s="1166">
        <v>0</v>
      </c>
      <c r="BU199" s="1166">
        <v>0</v>
      </c>
      <c r="BV199" s="1166">
        <v>0</v>
      </c>
      <c r="BW199" s="1166">
        <v>0</v>
      </c>
      <c r="BX199" s="1166">
        <v>0</v>
      </c>
      <c r="BY199" s="1166">
        <v>0</v>
      </c>
      <c r="BZ199" s="1166">
        <v>0</v>
      </c>
      <c r="CA199" s="1166">
        <v>0</v>
      </c>
      <c r="CB199" s="1166">
        <v>0</v>
      </c>
    </row>
    <row r="200" spans="1:80" s="1156" customFormat="1" x14ac:dyDescent="0.3">
      <c r="A200" s="1154"/>
      <c r="B200" s="1174">
        <v>550</v>
      </c>
      <c r="C200" s="1179" t="s">
        <v>572</v>
      </c>
      <c r="D200" s="1176" t="s">
        <v>573</v>
      </c>
      <c r="E200" s="1164">
        <v>0</v>
      </c>
      <c r="F200" s="1165">
        <v>0</v>
      </c>
      <c r="G200" s="1165">
        <v>0</v>
      </c>
      <c r="H200" s="1165">
        <v>0</v>
      </c>
      <c r="I200" s="1165">
        <v>0</v>
      </c>
      <c r="J200" s="1165">
        <v>0</v>
      </c>
      <c r="K200" s="1165">
        <v>0</v>
      </c>
      <c r="L200" s="1166">
        <v>0</v>
      </c>
      <c r="M200" s="1166">
        <v>0</v>
      </c>
      <c r="N200" s="1166">
        <v>0</v>
      </c>
      <c r="O200" s="1166">
        <v>0</v>
      </c>
      <c r="P200" s="1166">
        <v>0</v>
      </c>
      <c r="Q200" s="1166">
        <v>0</v>
      </c>
      <c r="R200" s="1166">
        <v>0</v>
      </c>
      <c r="S200" s="1166">
        <v>0</v>
      </c>
      <c r="T200" s="1166">
        <v>0</v>
      </c>
      <c r="U200" s="1166">
        <v>0</v>
      </c>
      <c r="V200" s="1166">
        <v>0</v>
      </c>
      <c r="W200" s="1166">
        <v>0</v>
      </c>
      <c r="X200" s="1166">
        <v>0</v>
      </c>
      <c r="Y200" s="1166">
        <v>0</v>
      </c>
      <c r="Z200" s="1166">
        <v>0</v>
      </c>
      <c r="AA200" s="1166">
        <v>0</v>
      </c>
      <c r="AB200" s="1166">
        <v>0</v>
      </c>
      <c r="AC200" s="1166">
        <v>0</v>
      </c>
      <c r="AD200" s="1166">
        <v>0</v>
      </c>
      <c r="AE200" s="1166">
        <v>0</v>
      </c>
      <c r="AF200" s="1166">
        <v>0</v>
      </c>
      <c r="AG200" s="1166">
        <v>0</v>
      </c>
      <c r="AH200" s="1166">
        <v>0</v>
      </c>
      <c r="AI200" s="1166">
        <v>0</v>
      </c>
      <c r="AJ200" s="1166">
        <v>0</v>
      </c>
      <c r="AK200" s="1166">
        <v>0</v>
      </c>
      <c r="AL200" s="1166">
        <v>0</v>
      </c>
      <c r="AM200" s="1166">
        <v>0</v>
      </c>
      <c r="AN200" s="1166">
        <v>0</v>
      </c>
      <c r="AO200" s="1166">
        <v>0</v>
      </c>
      <c r="AP200" s="1166">
        <v>0</v>
      </c>
      <c r="AQ200" s="1166">
        <v>0</v>
      </c>
      <c r="AR200" s="1166">
        <v>0</v>
      </c>
      <c r="AS200" s="1166">
        <v>0</v>
      </c>
      <c r="AT200" s="1166">
        <v>0</v>
      </c>
      <c r="AU200" s="1166">
        <v>0</v>
      </c>
      <c r="AV200" s="1166">
        <v>0</v>
      </c>
      <c r="AW200" s="1166">
        <v>0</v>
      </c>
      <c r="AX200" s="1166">
        <v>0</v>
      </c>
      <c r="AY200" s="1166">
        <v>0</v>
      </c>
      <c r="AZ200" s="1166">
        <v>0</v>
      </c>
      <c r="BA200" s="1166">
        <v>0</v>
      </c>
      <c r="BB200" s="1166">
        <v>0</v>
      </c>
      <c r="BC200" s="1166">
        <v>0</v>
      </c>
      <c r="BD200" s="1166">
        <v>0</v>
      </c>
      <c r="BE200" s="1166">
        <v>0</v>
      </c>
      <c r="BF200" s="1166">
        <v>0</v>
      </c>
      <c r="BG200" s="1166">
        <v>0</v>
      </c>
      <c r="BH200" s="1166">
        <v>0</v>
      </c>
      <c r="BI200" s="1166">
        <v>0</v>
      </c>
      <c r="BJ200" s="1166">
        <v>0</v>
      </c>
      <c r="BK200" s="1166">
        <v>0</v>
      </c>
      <c r="BL200" s="1166">
        <v>0</v>
      </c>
      <c r="BM200" s="1166">
        <v>0</v>
      </c>
      <c r="BN200" s="1166">
        <v>0</v>
      </c>
      <c r="BO200" s="1166">
        <v>0</v>
      </c>
      <c r="BP200" s="1166">
        <v>0</v>
      </c>
      <c r="BQ200" s="1166">
        <v>0</v>
      </c>
      <c r="BR200" s="1166">
        <v>0</v>
      </c>
      <c r="BS200" s="1166">
        <v>0</v>
      </c>
      <c r="BT200" s="1166">
        <v>0</v>
      </c>
      <c r="BU200" s="1166">
        <v>0</v>
      </c>
      <c r="BV200" s="1166">
        <v>0</v>
      </c>
      <c r="BW200" s="1166">
        <v>0</v>
      </c>
      <c r="BX200" s="1166">
        <v>0</v>
      </c>
      <c r="BY200" s="1166">
        <v>0</v>
      </c>
      <c r="BZ200" s="1166">
        <v>0</v>
      </c>
      <c r="CA200" s="1166">
        <v>0</v>
      </c>
      <c r="CB200" s="1166">
        <v>0</v>
      </c>
    </row>
    <row r="201" spans="1:80" s="1156" customFormat="1" ht="69" x14ac:dyDescent="0.3">
      <c r="A201" s="1180"/>
      <c r="B201" s="1174">
        <v>551</v>
      </c>
      <c r="C201" s="1179" t="s">
        <v>929</v>
      </c>
      <c r="D201" s="1176" t="s">
        <v>574</v>
      </c>
      <c r="E201" s="1164">
        <v>0</v>
      </c>
      <c r="F201" s="1165">
        <v>0</v>
      </c>
      <c r="G201" s="1165">
        <v>0</v>
      </c>
      <c r="H201" s="1165">
        <v>0</v>
      </c>
      <c r="I201" s="1165">
        <v>0</v>
      </c>
      <c r="J201" s="1165">
        <v>0</v>
      </c>
      <c r="K201" s="1165">
        <v>0</v>
      </c>
      <c r="L201" s="1166">
        <v>0</v>
      </c>
      <c r="M201" s="1166">
        <v>0</v>
      </c>
      <c r="N201" s="1166">
        <v>0</v>
      </c>
      <c r="O201" s="1166">
        <v>0</v>
      </c>
      <c r="P201" s="1166">
        <v>0</v>
      </c>
      <c r="Q201" s="1166">
        <v>0</v>
      </c>
      <c r="R201" s="1166">
        <v>0</v>
      </c>
      <c r="S201" s="1166">
        <v>0</v>
      </c>
      <c r="T201" s="1166">
        <v>0</v>
      </c>
      <c r="U201" s="1166">
        <v>0</v>
      </c>
      <c r="V201" s="1166">
        <v>0</v>
      </c>
      <c r="W201" s="1166">
        <v>0</v>
      </c>
      <c r="X201" s="1166">
        <v>0</v>
      </c>
      <c r="Y201" s="1166">
        <v>0</v>
      </c>
      <c r="Z201" s="1166">
        <v>0</v>
      </c>
      <c r="AA201" s="1166">
        <v>0</v>
      </c>
      <c r="AB201" s="1166">
        <v>0</v>
      </c>
      <c r="AC201" s="1166">
        <v>0</v>
      </c>
      <c r="AD201" s="1166">
        <v>0</v>
      </c>
      <c r="AE201" s="1166">
        <v>0</v>
      </c>
      <c r="AF201" s="1166">
        <v>0</v>
      </c>
      <c r="AG201" s="1166">
        <v>0</v>
      </c>
      <c r="AH201" s="1166">
        <v>0</v>
      </c>
      <c r="AI201" s="1166">
        <v>0</v>
      </c>
      <c r="AJ201" s="1166">
        <v>0</v>
      </c>
      <c r="AK201" s="1166">
        <v>0</v>
      </c>
      <c r="AL201" s="1166">
        <v>0</v>
      </c>
      <c r="AM201" s="1166">
        <v>0</v>
      </c>
      <c r="AN201" s="1166">
        <v>0</v>
      </c>
      <c r="AO201" s="1166">
        <v>0</v>
      </c>
      <c r="AP201" s="1166">
        <v>0</v>
      </c>
      <c r="AQ201" s="1166">
        <v>0</v>
      </c>
      <c r="AR201" s="1166">
        <v>0</v>
      </c>
      <c r="AS201" s="1166">
        <v>0</v>
      </c>
      <c r="AT201" s="1166">
        <v>0</v>
      </c>
      <c r="AU201" s="1166">
        <v>0</v>
      </c>
      <c r="AV201" s="1166">
        <v>0</v>
      </c>
      <c r="AW201" s="1166">
        <v>0</v>
      </c>
      <c r="AX201" s="1166">
        <v>0</v>
      </c>
      <c r="AY201" s="1166">
        <v>0</v>
      </c>
      <c r="AZ201" s="1166">
        <v>0</v>
      </c>
      <c r="BA201" s="1166">
        <v>0</v>
      </c>
      <c r="BB201" s="1166">
        <v>0</v>
      </c>
      <c r="BC201" s="1166">
        <v>0</v>
      </c>
      <c r="BD201" s="1166">
        <v>0</v>
      </c>
      <c r="BE201" s="1166">
        <v>0</v>
      </c>
      <c r="BF201" s="1166">
        <v>0</v>
      </c>
      <c r="BG201" s="1166">
        <v>0</v>
      </c>
      <c r="BH201" s="1166">
        <v>0</v>
      </c>
      <c r="BI201" s="1166">
        <v>0</v>
      </c>
      <c r="BJ201" s="1166">
        <v>0</v>
      </c>
      <c r="BK201" s="1166">
        <v>0</v>
      </c>
      <c r="BL201" s="1166">
        <v>0</v>
      </c>
      <c r="BM201" s="1166">
        <v>0</v>
      </c>
      <c r="BN201" s="1166">
        <v>0</v>
      </c>
      <c r="BO201" s="1166">
        <v>0</v>
      </c>
      <c r="BP201" s="1166">
        <v>0</v>
      </c>
      <c r="BQ201" s="1166">
        <v>0</v>
      </c>
      <c r="BR201" s="1166">
        <v>0</v>
      </c>
      <c r="BS201" s="1166">
        <v>0</v>
      </c>
      <c r="BT201" s="1166">
        <v>0</v>
      </c>
      <c r="BU201" s="1166">
        <v>0</v>
      </c>
      <c r="BV201" s="1166">
        <v>0</v>
      </c>
      <c r="BW201" s="1166">
        <v>0</v>
      </c>
      <c r="BX201" s="1166">
        <v>0</v>
      </c>
      <c r="BY201" s="1166">
        <v>0</v>
      </c>
      <c r="BZ201" s="1166">
        <v>0</v>
      </c>
      <c r="CA201" s="1166">
        <v>0</v>
      </c>
      <c r="CB201" s="1166">
        <v>0</v>
      </c>
    </row>
    <row r="202" spans="1:80" s="1156" customFormat="1" x14ac:dyDescent="0.3">
      <c r="A202" s="1154"/>
      <c r="B202" s="1174">
        <v>552</v>
      </c>
      <c r="C202" s="1181" t="s">
        <v>542</v>
      </c>
      <c r="D202" s="1176" t="s">
        <v>575</v>
      </c>
      <c r="E202" s="1164">
        <v>0</v>
      </c>
      <c r="F202" s="1165">
        <v>0</v>
      </c>
      <c r="G202" s="1165">
        <v>0</v>
      </c>
      <c r="H202" s="1165">
        <v>0</v>
      </c>
      <c r="I202" s="1165">
        <v>0</v>
      </c>
      <c r="J202" s="1165">
        <v>0</v>
      </c>
      <c r="K202" s="1165">
        <v>0</v>
      </c>
      <c r="L202" s="1166">
        <v>0</v>
      </c>
      <c r="M202" s="1166">
        <v>0</v>
      </c>
      <c r="N202" s="1166">
        <v>0</v>
      </c>
      <c r="O202" s="1166">
        <v>0</v>
      </c>
      <c r="P202" s="1166">
        <v>0</v>
      </c>
      <c r="Q202" s="1166">
        <v>0</v>
      </c>
      <c r="R202" s="1166">
        <v>0</v>
      </c>
      <c r="S202" s="1166">
        <v>0</v>
      </c>
      <c r="T202" s="1166">
        <v>0</v>
      </c>
      <c r="U202" s="1166">
        <v>0</v>
      </c>
      <c r="V202" s="1166">
        <v>0</v>
      </c>
      <c r="W202" s="1166">
        <v>0</v>
      </c>
      <c r="X202" s="1166">
        <v>0</v>
      </c>
      <c r="Y202" s="1166">
        <v>0</v>
      </c>
      <c r="Z202" s="1166">
        <v>0</v>
      </c>
      <c r="AA202" s="1166">
        <v>0</v>
      </c>
      <c r="AB202" s="1166">
        <v>0</v>
      </c>
      <c r="AC202" s="1166">
        <v>0</v>
      </c>
      <c r="AD202" s="1166">
        <v>0</v>
      </c>
      <c r="AE202" s="1166">
        <v>0</v>
      </c>
      <c r="AF202" s="1166">
        <v>0</v>
      </c>
      <c r="AG202" s="1166">
        <v>0</v>
      </c>
      <c r="AH202" s="1166">
        <v>0</v>
      </c>
      <c r="AI202" s="1166">
        <v>0</v>
      </c>
      <c r="AJ202" s="1166">
        <v>0</v>
      </c>
      <c r="AK202" s="1166">
        <v>0</v>
      </c>
      <c r="AL202" s="1166">
        <v>0</v>
      </c>
      <c r="AM202" s="1166">
        <v>0</v>
      </c>
      <c r="AN202" s="1166">
        <v>0</v>
      </c>
      <c r="AO202" s="1166">
        <v>0</v>
      </c>
      <c r="AP202" s="1166">
        <v>0</v>
      </c>
      <c r="AQ202" s="1166">
        <v>0</v>
      </c>
      <c r="AR202" s="1166">
        <v>0</v>
      </c>
      <c r="AS202" s="1166">
        <v>0</v>
      </c>
      <c r="AT202" s="1166">
        <v>0</v>
      </c>
      <c r="AU202" s="1166">
        <v>0</v>
      </c>
      <c r="AV202" s="1166">
        <v>0</v>
      </c>
      <c r="AW202" s="1166">
        <v>0</v>
      </c>
      <c r="AX202" s="1166">
        <v>0</v>
      </c>
      <c r="AY202" s="1166">
        <v>0</v>
      </c>
      <c r="AZ202" s="1166">
        <v>0</v>
      </c>
      <c r="BA202" s="1166">
        <v>0</v>
      </c>
      <c r="BB202" s="1166">
        <v>0</v>
      </c>
      <c r="BC202" s="1166">
        <v>0</v>
      </c>
      <c r="BD202" s="1166">
        <v>0</v>
      </c>
      <c r="BE202" s="1166">
        <v>0</v>
      </c>
      <c r="BF202" s="1166">
        <v>0</v>
      </c>
      <c r="BG202" s="1166">
        <v>0</v>
      </c>
      <c r="BH202" s="1166">
        <v>0</v>
      </c>
      <c r="BI202" s="1166">
        <v>0</v>
      </c>
      <c r="BJ202" s="1166">
        <v>0</v>
      </c>
      <c r="BK202" s="1166">
        <v>0</v>
      </c>
      <c r="BL202" s="1166">
        <v>0</v>
      </c>
      <c r="BM202" s="1166">
        <v>0</v>
      </c>
      <c r="BN202" s="1166">
        <v>0</v>
      </c>
      <c r="BO202" s="1166">
        <v>0</v>
      </c>
      <c r="BP202" s="1166">
        <v>0</v>
      </c>
      <c r="BQ202" s="1166">
        <v>0</v>
      </c>
      <c r="BR202" s="1166">
        <v>0</v>
      </c>
      <c r="BS202" s="1166">
        <v>0</v>
      </c>
      <c r="BT202" s="1166">
        <v>0</v>
      </c>
      <c r="BU202" s="1166">
        <v>0</v>
      </c>
      <c r="BV202" s="1166">
        <v>0</v>
      </c>
      <c r="BW202" s="1166">
        <v>0</v>
      </c>
      <c r="BX202" s="1166">
        <v>0</v>
      </c>
      <c r="BY202" s="1166">
        <v>0</v>
      </c>
      <c r="BZ202" s="1166">
        <v>0</v>
      </c>
      <c r="CA202" s="1166">
        <v>0</v>
      </c>
      <c r="CB202" s="1166">
        <v>0</v>
      </c>
    </row>
    <row r="203" spans="1:80" s="1156" customFormat="1" x14ac:dyDescent="0.3">
      <c r="A203" s="1154"/>
      <c r="B203" s="1174">
        <v>553</v>
      </c>
      <c r="C203" s="1181" t="s">
        <v>576</v>
      </c>
      <c r="D203" s="1176" t="s">
        <v>577</v>
      </c>
      <c r="E203" s="1164"/>
      <c r="F203" s="1165"/>
      <c r="G203" s="1165"/>
      <c r="H203" s="1165"/>
      <c r="I203" s="1165"/>
      <c r="J203" s="1165"/>
      <c r="K203" s="1165"/>
      <c r="L203" s="1166"/>
      <c r="M203" s="1166"/>
      <c r="N203" s="1166"/>
      <c r="O203" s="1166"/>
      <c r="P203" s="1166"/>
      <c r="Q203" s="1166"/>
      <c r="R203" s="1166"/>
      <c r="S203" s="1166"/>
      <c r="T203" s="1166"/>
      <c r="U203" s="1166"/>
      <c r="V203" s="1166"/>
      <c r="W203" s="1166"/>
      <c r="X203" s="1166"/>
      <c r="Y203" s="1166"/>
      <c r="Z203" s="1166"/>
      <c r="AA203" s="1166"/>
      <c r="AB203" s="1166"/>
      <c r="AC203" s="1166"/>
      <c r="AD203" s="1166"/>
      <c r="AE203" s="1166"/>
      <c r="AF203" s="1166"/>
      <c r="AG203" s="1166"/>
      <c r="AH203" s="1166"/>
      <c r="AI203" s="1166"/>
      <c r="AJ203" s="1166"/>
      <c r="AK203" s="1166"/>
      <c r="AL203" s="1166"/>
      <c r="AM203" s="1166"/>
      <c r="AN203" s="1166"/>
      <c r="AO203" s="1166"/>
      <c r="AP203" s="1166"/>
      <c r="AQ203" s="1166"/>
      <c r="AR203" s="1166"/>
      <c r="AS203" s="1166"/>
      <c r="AT203" s="1166"/>
      <c r="AU203" s="1166"/>
      <c r="AV203" s="1166"/>
      <c r="AW203" s="1166"/>
      <c r="AX203" s="1166"/>
      <c r="AY203" s="1166"/>
      <c r="AZ203" s="1166"/>
      <c r="BA203" s="1166"/>
      <c r="BB203" s="1166"/>
      <c r="BC203" s="1166"/>
      <c r="BD203" s="1166"/>
      <c r="BE203" s="1166"/>
      <c r="BF203" s="1166"/>
      <c r="BG203" s="1166"/>
      <c r="BH203" s="1166"/>
      <c r="BI203" s="1166"/>
      <c r="BJ203" s="1166"/>
      <c r="BK203" s="1166"/>
      <c r="BL203" s="1166"/>
      <c r="BM203" s="1166"/>
      <c r="BN203" s="1166"/>
      <c r="BO203" s="1166"/>
      <c r="BP203" s="1166"/>
      <c r="BQ203" s="1166"/>
      <c r="BR203" s="1166"/>
      <c r="BS203" s="1166"/>
      <c r="BT203" s="1166"/>
      <c r="BU203" s="1166"/>
      <c r="BV203" s="1166"/>
      <c r="BW203" s="1166"/>
      <c r="BX203" s="1166"/>
      <c r="BY203" s="1166"/>
      <c r="BZ203" s="1166"/>
      <c r="CA203" s="1166"/>
      <c r="CB203" s="1166"/>
    </row>
    <row r="204" spans="1:80" s="1156" customFormat="1" ht="28.2" x14ac:dyDescent="0.3">
      <c r="A204" s="1182">
        <v>554</v>
      </c>
      <c r="B204" s="1174">
        <v>554</v>
      </c>
      <c r="C204" s="1179" t="s">
        <v>1812</v>
      </c>
      <c r="D204" s="1176" t="s">
        <v>579</v>
      </c>
      <c r="E204" s="1164">
        <v>0</v>
      </c>
      <c r="F204" s="1165">
        <v>76546</v>
      </c>
      <c r="G204" s="1165">
        <v>0</v>
      </c>
      <c r="H204" s="1165">
        <v>2452100</v>
      </c>
      <c r="I204" s="1165">
        <v>1967459</v>
      </c>
      <c r="J204" s="1165">
        <v>0</v>
      </c>
      <c r="K204" s="1165">
        <v>0</v>
      </c>
      <c r="L204" s="1166">
        <v>0</v>
      </c>
      <c r="M204" s="1166">
        <v>3664658</v>
      </c>
      <c r="N204" s="1166">
        <v>0</v>
      </c>
      <c r="O204" s="1166">
        <v>0</v>
      </c>
      <c r="P204" s="1166">
        <v>0</v>
      </c>
      <c r="Q204" s="1166">
        <v>104999</v>
      </c>
      <c r="R204" s="1166">
        <v>0</v>
      </c>
      <c r="S204" s="1166">
        <v>0</v>
      </c>
      <c r="T204" s="1166">
        <v>0</v>
      </c>
      <c r="U204" s="1166">
        <v>0</v>
      </c>
      <c r="V204" s="1166">
        <v>4888889</v>
      </c>
      <c r="W204" s="1166">
        <v>0</v>
      </c>
      <c r="X204" s="1166">
        <v>0</v>
      </c>
      <c r="Y204" s="1166">
        <v>182514</v>
      </c>
      <c r="Z204" s="1166">
        <v>0</v>
      </c>
      <c r="AA204" s="1166">
        <v>0</v>
      </c>
      <c r="AB204" s="1166">
        <v>0</v>
      </c>
      <c r="AC204" s="1166">
        <v>0</v>
      </c>
      <c r="AD204" s="1166">
        <v>0</v>
      </c>
      <c r="AE204" s="1166">
        <v>0</v>
      </c>
      <c r="AF204" s="1166">
        <v>0</v>
      </c>
      <c r="AG204" s="1166">
        <v>0</v>
      </c>
      <c r="AH204" s="1166">
        <v>0</v>
      </c>
      <c r="AI204" s="1166">
        <v>0</v>
      </c>
      <c r="AJ204" s="1166">
        <v>0</v>
      </c>
      <c r="AK204" s="1166">
        <v>174907</v>
      </c>
      <c r="AL204" s="1166">
        <v>0</v>
      </c>
      <c r="AM204" s="1166">
        <v>0</v>
      </c>
      <c r="AN204" s="1166">
        <v>129972</v>
      </c>
      <c r="AO204" s="1166">
        <v>4462830</v>
      </c>
      <c r="AP204" s="1166">
        <v>0</v>
      </c>
      <c r="AQ204" s="1166">
        <v>0</v>
      </c>
      <c r="AR204" s="1166">
        <v>471497</v>
      </c>
      <c r="AS204" s="1166">
        <v>0</v>
      </c>
      <c r="AT204" s="1166">
        <v>0</v>
      </c>
      <c r="AU204" s="1166">
        <v>0</v>
      </c>
      <c r="AV204" s="1166">
        <v>940284</v>
      </c>
      <c r="AW204" s="1166">
        <v>0</v>
      </c>
      <c r="AX204" s="1166">
        <v>0</v>
      </c>
      <c r="AY204" s="1166">
        <v>0</v>
      </c>
      <c r="AZ204" s="1166">
        <v>0</v>
      </c>
      <c r="BA204" s="1166">
        <v>0</v>
      </c>
      <c r="BB204" s="1166">
        <v>0</v>
      </c>
      <c r="BC204" s="1166">
        <v>0</v>
      </c>
      <c r="BD204" s="1166">
        <v>0</v>
      </c>
      <c r="BE204" s="1166">
        <v>0</v>
      </c>
      <c r="BF204" s="1166">
        <v>0</v>
      </c>
      <c r="BG204" s="1166">
        <v>0</v>
      </c>
      <c r="BH204" s="1166">
        <v>0</v>
      </c>
      <c r="BI204" s="1166">
        <v>0</v>
      </c>
      <c r="BJ204" s="1166">
        <v>0</v>
      </c>
      <c r="BK204" s="1166">
        <v>0</v>
      </c>
      <c r="BL204" s="1166">
        <v>0</v>
      </c>
      <c r="BM204" s="1166">
        <v>0</v>
      </c>
      <c r="BN204" s="1166">
        <v>0</v>
      </c>
      <c r="BO204" s="1166">
        <v>781525</v>
      </c>
      <c r="BP204" s="1166">
        <v>0</v>
      </c>
      <c r="BQ204" s="1166">
        <v>0</v>
      </c>
      <c r="BR204" s="1166">
        <v>0</v>
      </c>
      <c r="BS204" s="1166">
        <v>0</v>
      </c>
      <c r="BT204" s="1166">
        <v>641260</v>
      </c>
      <c r="BU204" s="1166">
        <v>0</v>
      </c>
      <c r="BV204" s="1166">
        <v>0</v>
      </c>
      <c r="BW204" s="1166">
        <v>1438678</v>
      </c>
      <c r="BX204" s="1166">
        <v>0</v>
      </c>
      <c r="BY204" s="1166">
        <v>0</v>
      </c>
      <c r="BZ204" s="1166">
        <v>0</v>
      </c>
      <c r="CA204" s="1166">
        <v>152518</v>
      </c>
      <c r="CB204" s="1166">
        <v>0</v>
      </c>
    </row>
    <row r="205" spans="1:80" s="1156" customFormat="1" ht="42" x14ac:dyDescent="0.3">
      <c r="A205" s="1182">
        <v>555</v>
      </c>
      <c r="B205" s="1174">
        <v>555</v>
      </c>
      <c r="C205" s="1179" t="s">
        <v>1813</v>
      </c>
      <c r="D205" s="1176" t="s">
        <v>581</v>
      </c>
      <c r="E205" s="1164">
        <v>0</v>
      </c>
      <c r="F205" s="1165">
        <v>0</v>
      </c>
      <c r="G205" s="1165">
        <v>0</v>
      </c>
      <c r="H205" s="1165">
        <v>1286148</v>
      </c>
      <c r="I205" s="1165">
        <v>1967459</v>
      </c>
      <c r="J205" s="1165">
        <v>0</v>
      </c>
      <c r="K205" s="1165">
        <v>0</v>
      </c>
      <c r="L205" s="1166">
        <v>0</v>
      </c>
      <c r="M205" s="1166">
        <v>3572015</v>
      </c>
      <c r="N205" s="1166">
        <v>0</v>
      </c>
      <c r="O205" s="1166">
        <v>0</v>
      </c>
      <c r="P205" s="1166">
        <v>0</v>
      </c>
      <c r="Q205" s="1166">
        <v>0</v>
      </c>
      <c r="R205" s="1166">
        <v>0</v>
      </c>
      <c r="S205" s="1166">
        <v>0</v>
      </c>
      <c r="T205" s="1166">
        <v>0</v>
      </c>
      <c r="U205" s="1166">
        <v>0</v>
      </c>
      <c r="V205" s="1166">
        <v>3838372</v>
      </c>
      <c r="W205" s="1166">
        <v>0</v>
      </c>
      <c r="X205" s="1166">
        <v>0</v>
      </c>
      <c r="Y205" s="1166">
        <v>0</v>
      </c>
      <c r="Z205" s="1166">
        <v>0</v>
      </c>
      <c r="AA205" s="1166">
        <v>0</v>
      </c>
      <c r="AB205" s="1166">
        <v>0</v>
      </c>
      <c r="AC205" s="1166">
        <v>0</v>
      </c>
      <c r="AD205" s="1166">
        <v>0</v>
      </c>
      <c r="AE205" s="1166">
        <v>0</v>
      </c>
      <c r="AF205" s="1166">
        <v>0</v>
      </c>
      <c r="AG205" s="1166">
        <v>0</v>
      </c>
      <c r="AH205" s="1166">
        <v>0</v>
      </c>
      <c r="AI205" s="1166">
        <v>0</v>
      </c>
      <c r="AJ205" s="1166">
        <v>0</v>
      </c>
      <c r="AK205" s="1166">
        <v>0</v>
      </c>
      <c r="AL205" s="1166">
        <v>0</v>
      </c>
      <c r="AM205" s="1166">
        <v>0</v>
      </c>
      <c r="AN205" s="1166">
        <v>0</v>
      </c>
      <c r="AO205" s="1166">
        <v>4181201</v>
      </c>
      <c r="AP205" s="1166">
        <v>0</v>
      </c>
      <c r="AQ205" s="1166">
        <v>0</v>
      </c>
      <c r="AR205" s="1166">
        <v>0</v>
      </c>
      <c r="AS205" s="1166">
        <v>0</v>
      </c>
      <c r="AT205" s="1166">
        <v>0</v>
      </c>
      <c r="AU205" s="1166">
        <v>0</v>
      </c>
      <c r="AV205" s="1166">
        <v>830367</v>
      </c>
      <c r="AW205" s="1166">
        <v>0</v>
      </c>
      <c r="AX205" s="1166">
        <v>0</v>
      </c>
      <c r="AY205" s="1166">
        <v>0</v>
      </c>
      <c r="AZ205" s="1166">
        <v>0</v>
      </c>
      <c r="BA205" s="1166">
        <v>0</v>
      </c>
      <c r="BB205" s="1166">
        <v>0</v>
      </c>
      <c r="BC205" s="1166">
        <v>0</v>
      </c>
      <c r="BD205" s="1166">
        <v>0</v>
      </c>
      <c r="BE205" s="1166">
        <v>0</v>
      </c>
      <c r="BF205" s="1166">
        <v>0</v>
      </c>
      <c r="BG205" s="1166">
        <v>0</v>
      </c>
      <c r="BH205" s="1166">
        <v>0</v>
      </c>
      <c r="BI205" s="1166">
        <v>0</v>
      </c>
      <c r="BJ205" s="1166">
        <v>0</v>
      </c>
      <c r="BK205" s="1166">
        <v>0</v>
      </c>
      <c r="BL205" s="1166">
        <v>0</v>
      </c>
      <c r="BM205" s="1166">
        <v>0</v>
      </c>
      <c r="BN205" s="1166">
        <v>0</v>
      </c>
      <c r="BO205" s="1166">
        <v>499643</v>
      </c>
      <c r="BP205" s="1166">
        <v>0</v>
      </c>
      <c r="BQ205" s="1166">
        <v>0</v>
      </c>
      <c r="BR205" s="1166">
        <v>0</v>
      </c>
      <c r="BS205" s="1166">
        <v>0</v>
      </c>
      <c r="BT205" s="1166">
        <v>0</v>
      </c>
      <c r="BU205" s="1166">
        <v>0</v>
      </c>
      <c r="BV205" s="1166">
        <v>0</v>
      </c>
      <c r="BW205" s="1166">
        <v>1371002</v>
      </c>
      <c r="BX205" s="1166">
        <v>0</v>
      </c>
      <c r="BY205" s="1166">
        <v>0</v>
      </c>
      <c r="BZ205" s="1166">
        <v>0</v>
      </c>
      <c r="CA205" s="1166">
        <v>0</v>
      </c>
      <c r="CB205" s="1166">
        <v>0</v>
      </c>
    </row>
    <row r="206" spans="1:80" s="1156" customFormat="1" ht="28.2" x14ac:dyDescent="0.3">
      <c r="A206" s="1182">
        <v>556</v>
      </c>
      <c r="B206" s="1174">
        <v>556</v>
      </c>
      <c r="C206" s="1179" t="s">
        <v>1814</v>
      </c>
      <c r="D206" s="1176" t="s">
        <v>583</v>
      </c>
      <c r="E206" s="1164">
        <v>0</v>
      </c>
      <c r="F206" s="1165">
        <v>1316500</v>
      </c>
      <c r="G206" s="1165">
        <v>0</v>
      </c>
      <c r="H206" s="1165">
        <v>964561</v>
      </c>
      <c r="I206" s="1165">
        <v>45812</v>
      </c>
      <c r="J206" s="1165">
        <v>0</v>
      </c>
      <c r="K206" s="1165">
        <v>0</v>
      </c>
      <c r="L206" s="1166">
        <v>0</v>
      </c>
      <c r="M206" s="1166">
        <v>1082803</v>
      </c>
      <c r="N206" s="1166">
        <v>0</v>
      </c>
      <c r="O206" s="1166">
        <v>0</v>
      </c>
      <c r="P206" s="1166">
        <v>0</v>
      </c>
      <c r="Q206" s="1166">
        <v>748543</v>
      </c>
      <c r="R206" s="1166">
        <v>0</v>
      </c>
      <c r="S206" s="1166">
        <v>0</v>
      </c>
      <c r="T206" s="1166">
        <v>0</v>
      </c>
      <c r="U206" s="1166">
        <v>0</v>
      </c>
      <c r="V206" s="1166">
        <v>662820</v>
      </c>
      <c r="W206" s="1166">
        <v>0</v>
      </c>
      <c r="X206" s="1166">
        <v>0</v>
      </c>
      <c r="Y206" s="1166">
        <v>228507</v>
      </c>
      <c r="Z206" s="1166">
        <v>0</v>
      </c>
      <c r="AA206" s="1166">
        <v>0</v>
      </c>
      <c r="AB206" s="1166">
        <v>0</v>
      </c>
      <c r="AC206" s="1166">
        <v>0</v>
      </c>
      <c r="AD206" s="1166">
        <v>0</v>
      </c>
      <c r="AE206" s="1166">
        <v>0</v>
      </c>
      <c r="AF206" s="1166">
        <v>0</v>
      </c>
      <c r="AG206" s="1166">
        <v>0</v>
      </c>
      <c r="AH206" s="1166">
        <v>0</v>
      </c>
      <c r="AI206" s="1166">
        <v>0</v>
      </c>
      <c r="AJ206" s="1166">
        <v>0</v>
      </c>
      <c r="AK206" s="1166">
        <v>1544249</v>
      </c>
      <c r="AL206" s="1166">
        <v>0</v>
      </c>
      <c r="AM206" s="1166">
        <v>0</v>
      </c>
      <c r="AN206" s="1166">
        <v>592054</v>
      </c>
      <c r="AO206" s="1166">
        <v>1096716</v>
      </c>
      <c r="AP206" s="1166">
        <v>0</v>
      </c>
      <c r="AQ206" s="1166">
        <v>0</v>
      </c>
      <c r="AR206" s="1166">
        <v>745141</v>
      </c>
      <c r="AS206" s="1166">
        <v>0</v>
      </c>
      <c r="AT206" s="1166">
        <v>0</v>
      </c>
      <c r="AU206" s="1166">
        <v>0</v>
      </c>
      <c r="AV206" s="1166">
        <v>385183</v>
      </c>
      <c r="AW206" s="1166">
        <v>0</v>
      </c>
      <c r="AX206" s="1166">
        <v>0</v>
      </c>
      <c r="AY206" s="1166">
        <v>0</v>
      </c>
      <c r="AZ206" s="1166">
        <v>563425</v>
      </c>
      <c r="BA206" s="1166">
        <v>0</v>
      </c>
      <c r="BB206" s="1166">
        <v>0</v>
      </c>
      <c r="BC206" s="1166">
        <v>0</v>
      </c>
      <c r="BD206" s="1166">
        <v>0</v>
      </c>
      <c r="BE206" s="1166">
        <v>0</v>
      </c>
      <c r="BF206" s="1166">
        <v>0</v>
      </c>
      <c r="BG206" s="1166">
        <v>0</v>
      </c>
      <c r="BH206" s="1166">
        <v>0</v>
      </c>
      <c r="BI206" s="1166">
        <v>0</v>
      </c>
      <c r="BJ206" s="1166">
        <v>0</v>
      </c>
      <c r="BK206" s="1166">
        <v>0</v>
      </c>
      <c r="BL206" s="1166">
        <v>0</v>
      </c>
      <c r="BM206" s="1166">
        <v>0</v>
      </c>
      <c r="BN206" s="1166">
        <v>0</v>
      </c>
      <c r="BO206" s="1166">
        <v>274270</v>
      </c>
      <c r="BP206" s="1166">
        <v>0</v>
      </c>
      <c r="BQ206" s="1166">
        <v>0</v>
      </c>
      <c r="BR206" s="1166">
        <v>0</v>
      </c>
      <c r="BS206" s="1166">
        <v>0</v>
      </c>
      <c r="BT206" s="1166">
        <v>939281</v>
      </c>
      <c r="BU206" s="1166">
        <v>0</v>
      </c>
      <c r="BV206" s="1166">
        <v>0</v>
      </c>
      <c r="BW206" s="1166">
        <v>561499</v>
      </c>
      <c r="BX206" s="1166">
        <v>0</v>
      </c>
      <c r="BY206" s="1166">
        <v>0</v>
      </c>
      <c r="BZ206" s="1166">
        <v>0</v>
      </c>
      <c r="CA206" s="1166">
        <v>540334</v>
      </c>
      <c r="CB206" s="1166">
        <v>0</v>
      </c>
    </row>
    <row r="207" spans="1:80" s="1156" customFormat="1" ht="42" x14ac:dyDescent="0.3">
      <c r="A207" s="1182">
        <v>557</v>
      </c>
      <c r="B207" s="1174">
        <v>557</v>
      </c>
      <c r="C207" s="1179" t="s">
        <v>1815</v>
      </c>
      <c r="D207" s="1176" t="s">
        <v>585</v>
      </c>
      <c r="E207" s="1164">
        <v>0</v>
      </c>
      <c r="F207" s="1165">
        <v>1304722</v>
      </c>
      <c r="G207" s="1165">
        <v>0</v>
      </c>
      <c r="H207" s="1165">
        <v>731329</v>
      </c>
      <c r="I207" s="1165">
        <v>0</v>
      </c>
      <c r="J207" s="1165">
        <v>0</v>
      </c>
      <c r="K207" s="1165">
        <v>0</v>
      </c>
      <c r="L207" s="1166">
        <v>0</v>
      </c>
      <c r="M207" s="1166">
        <v>1008118</v>
      </c>
      <c r="N207" s="1166">
        <v>0</v>
      </c>
      <c r="O207" s="1166">
        <v>0</v>
      </c>
      <c r="P207" s="1166">
        <v>0</v>
      </c>
      <c r="Q207" s="1166">
        <v>661476</v>
      </c>
      <c r="R207" s="1166">
        <v>0</v>
      </c>
      <c r="S207" s="1166">
        <v>0</v>
      </c>
      <c r="T207" s="1166">
        <v>0</v>
      </c>
      <c r="U207" s="1166">
        <v>0</v>
      </c>
      <c r="V207" s="1166">
        <v>273030</v>
      </c>
      <c r="W207" s="1166">
        <v>0</v>
      </c>
      <c r="X207" s="1166">
        <v>0</v>
      </c>
      <c r="Y207" s="1166">
        <v>0</v>
      </c>
      <c r="Z207" s="1166">
        <v>0</v>
      </c>
      <c r="AA207" s="1166">
        <v>0</v>
      </c>
      <c r="AB207" s="1166">
        <v>0</v>
      </c>
      <c r="AC207" s="1166">
        <v>0</v>
      </c>
      <c r="AD207" s="1166">
        <v>0</v>
      </c>
      <c r="AE207" s="1166">
        <v>0</v>
      </c>
      <c r="AF207" s="1166">
        <v>0</v>
      </c>
      <c r="AG207" s="1166">
        <v>0</v>
      </c>
      <c r="AH207" s="1166">
        <v>0</v>
      </c>
      <c r="AI207" s="1166">
        <v>0</v>
      </c>
      <c r="AJ207" s="1166">
        <v>0</v>
      </c>
      <c r="AK207" s="1166">
        <v>1095578</v>
      </c>
      <c r="AL207" s="1166">
        <v>0</v>
      </c>
      <c r="AM207" s="1166">
        <v>0</v>
      </c>
      <c r="AN207" s="1166">
        <v>550066</v>
      </c>
      <c r="AO207" s="1166">
        <v>500000</v>
      </c>
      <c r="AP207" s="1166">
        <v>0</v>
      </c>
      <c r="AQ207" s="1166">
        <v>0</v>
      </c>
      <c r="AR207" s="1166">
        <v>699447</v>
      </c>
      <c r="AS207" s="1166">
        <v>0</v>
      </c>
      <c r="AT207" s="1166">
        <v>0</v>
      </c>
      <c r="AU207" s="1166">
        <v>0</v>
      </c>
      <c r="AV207" s="1166">
        <v>380189</v>
      </c>
      <c r="AW207" s="1166">
        <v>0</v>
      </c>
      <c r="AX207" s="1166">
        <v>0</v>
      </c>
      <c r="AY207" s="1166">
        <v>0</v>
      </c>
      <c r="AZ207" s="1166">
        <v>244111</v>
      </c>
      <c r="BA207" s="1166">
        <v>0</v>
      </c>
      <c r="BB207" s="1166">
        <v>0</v>
      </c>
      <c r="BC207" s="1166">
        <v>0</v>
      </c>
      <c r="BD207" s="1166">
        <v>0</v>
      </c>
      <c r="BE207" s="1166">
        <v>0</v>
      </c>
      <c r="BF207" s="1166">
        <v>0</v>
      </c>
      <c r="BG207" s="1166">
        <v>0</v>
      </c>
      <c r="BH207" s="1166">
        <v>0</v>
      </c>
      <c r="BI207" s="1166">
        <v>0</v>
      </c>
      <c r="BJ207" s="1166">
        <v>0</v>
      </c>
      <c r="BK207" s="1166">
        <v>0</v>
      </c>
      <c r="BL207" s="1166">
        <v>0</v>
      </c>
      <c r="BM207" s="1166">
        <v>0</v>
      </c>
      <c r="BN207" s="1166">
        <v>0</v>
      </c>
      <c r="BO207" s="1166">
        <v>0</v>
      </c>
      <c r="BP207" s="1166">
        <v>0</v>
      </c>
      <c r="BQ207" s="1166">
        <v>0</v>
      </c>
      <c r="BR207" s="1166">
        <v>0</v>
      </c>
      <c r="BS207" s="1166">
        <v>0</v>
      </c>
      <c r="BT207" s="1166">
        <v>890616</v>
      </c>
      <c r="BU207" s="1166">
        <v>0</v>
      </c>
      <c r="BV207" s="1166">
        <v>0</v>
      </c>
      <c r="BW207" s="1166">
        <v>450000</v>
      </c>
      <c r="BX207" s="1166">
        <v>0</v>
      </c>
      <c r="BY207" s="1166">
        <v>0</v>
      </c>
      <c r="BZ207" s="1166">
        <v>0</v>
      </c>
      <c r="CA207" s="1166">
        <v>360334</v>
      </c>
      <c r="CB207" s="1166">
        <v>0</v>
      </c>
    </row>
    <row r="208" spans="1:80" s="1156" customFormat="1" x14ac:dyDescent="0.3">
      <c r="A208" s="1154"/>
      <c r="B208" s="1183">
        <v>558</v>
      </c>
      <c r="C208" s="1178"/>
      <c r="D208" s="1176" t="s">
        <v>586</v>
      </c>
      <c r="E208" s="1164"/>
      <c r="F208" s="1165"/>
      <c r="G208" s="1165"/>
      <c r="H208" s="1165"/>
      <c r="I208" s="1165"/>
      <c r="J208" s="1165"/>
      <c r="K208" s="1165"/>
      <c r="L208" s="1166"/>
      <c r="M208" s="1166"/>
      <c r="N208" s="1166"/>
      <c r="O208" s="1166"/>
      <c r="P208" s="1166"/>
      <c r="Q208" s="1166"/>
      <c r="R208" s="1166"/>
      <c r="S208" s="1166"/>
      <c r="T208" s="1166"/>
      <c r="U208" s="1166"/>
      <c r="V208" s="1166"/>
      <c r="W208" s="1166"/>
      <c r="X208" s="1166"/>
      <c r="Y208" s="1166"/>
      <c r="Z208" s="1166"/>
      <c r="AA208" s="1166"/>
      <c r="AB208" s="1166"/>
      <c r="AC208" s="1166"/>
      <c r="AD208" s="1166"/>
      <c r="AE208" s="1166"/>
      <c r="AF208" s="1166"/>
      <c r="AG208" s="1166"/>
      <c r="AH208" s="1166"/>
      <c r="AI208" s="1166"/>
      <c r="AJ208" s="1166"/>
      <c r="AK208" s="1166"/>
      <c r="AL208" s="1166"/>
      <c r="AM208" s="1166"/>
      <c r="AN208" s="1166"/>
      <c r="AO208" s="1166"/>
      <c r="AP208" s="1166"/>
      <c r="AQ208" s="1166"/>
      <c r="AR208" s="1166"/>
      <c r="AS208" s="1166"/>
      <c r="AT208" s="1166"/>
      <c r="AU208" s="1166"/>
      <c r="AV208" s="1166"/>
      <c r="AW208" s="1166"/>
      <c r="AX208" s="1166"/>
      <c r="AY208" s="1166"/>
      <c r="AZ208" s="1166"/>
      <c r="BA208" s="1166"/>
      <c r="BB208" s="1166"/>
      <c r="BC208" s="1166"/>
      <c r="BD208" s="1166"/>
      <c r="BE208" s="1166"/>
      <c r="BF208" s="1166"/>
      <c r="BG208" s="1166"/>
      <c r="BH208" s="1166"/>
      <c r="BI208" s="1166"/>
      <c r="BJ208" s="1166"/>
      <c r="BK208" s="1166"/>
      <c r="BL208" s="1166"/>
      <c r="BM208" s="1166"/>
      <c r="BN208" s="1166"/>
      <c r="BO208" s="1166"/>
      <c r="BP208" s="1166"/>
      <c r="BQ208" s="1166"/>
      <c r="BR208" s="1166"/>
      <c r="BS208" s="1166"/>
      <c r="BT208" s="1166"/>
      <c r="BU208" s="1166"/>
      <c r="BV208" s="1166"/>
      <c r="BW208" s="1166"/>
      <c r="BX208" s="1166"/>
      <c r="BY208" s="1166"/>
      <c r="BZ208" s="1166"/>
      <c r="CA208" s="1166"/>
      <c r="CB208" s="1166"/>
    </row>
    <row r="209" spans="1:80" s="1156" customFormat="1" x14ac:dyDescent="0.3">
      <c r="A209" s="1154"/>
      <c r="B209" s="1183">
        <v>559</v>
      </c>
      <c r="C209" s="1178"/>
      <c r="D209" s="1176" t="s">
        <v>587</v>
      </c>
      <c r="E209" s="1164"/>
      <c r="F209" s="1165"/>
      <c r="G209" s="1165"/>
      <c r="H209" s="1165"/>
      <c r="I209" s="1165"/>
      <c r="J209" s="1165"/>
      <c r="K209" s="1165"/>
      <c r="L209" s="1166"/>
      <c r="M209" s="1166"/>
      <c r="N209" s="1166"/>
      <c r="O209" s="1166"/>
      <c r="P209" s="1166"/>
      <c r="Q209" s="1166"/>
      <c r="R209" s="1166"/>
      <c r="S209" s="1166"/>
      <c r="T209" s="1166"/>
      <c r="U209" s="1166"/>
      <c r="V209" s="1166"/>
      <c r="W209" s="1166"/>
      <c r="X209" s="1166"/>
      <c r="Y209" s="1166"/>
      <c r="Z209" s="1166"/>
      <c r="AA209" s="1166"/>
      <c r="AB209" s="1166"/>
      <c r="AC209" s="1166"/>
      <c r="AD209" s="1166"/>
      <c r="AE209" s="1166"/>
      <c r="AF209" s="1166"/>
      <c r="AG209" s="1166"/>
      <c r="AH209" s="1166"/>
      <c r="AI209" s="1166"/>
      <c r="AJ209" s="1166"/>
      <c r="AK209" s="1166"/>
      <c r="AL209" s="1166"/>
      <c r="AM209" s="1166"/>
      <c r="AN209" s="1166"/>
      <c r="AO209" s="1166"/>
      <c r="AP209" s="1166"/>
      <c r="AQ209" s="1166"/>
      <c r="AR209" s="1166"/>
      <c r="AS209" s="1166"/>
      <c r="AT209" s="1166"/>
      <c r="AU209" s="1166"/>
      <c r="AV209" s="1166"/>
      <c r="AW209" s="1166"/>
      <c r="AX209" s="1166"/>
      <c r="AY209" s="1166"/>
      <c r="AZ209" s="1166"/>
      <c r="BA209" s="1166"/>
      <c r="BB209" s="1166"/>
      <c r="BC209" s="1166"/>
      <c r="BD209" s="1166"/>
      <c r="BE209" s="1166"/>
      <c r="BF209" s="1166"/>
      <c r="BG209" s="1166"/>
      <c r="BH209" s="1166"/>
      <c r="BI209" s="1166"/>
      <c r="BJ209" s="1166"/>
      <c r="BK209" s="1166"/>
      <c r="BL209" s="1166"/>
      <c r="BM209" s="1166"/>
      <c r="BN209" s="1166"/>
      <c r="BO209" s="1166"/>
      <c r="BP209" s="1166"/>
      <c r="BQ209" s="1166"/>
      <c r="BR209" s="1166"/>
      <c r="BS209" s="1166"/>
      <c r="BT209" s="1166"/>
      <c r="BU209" s="1166"/>
      <c r="BV209" s="1166"/>
      <c r="BW209" s="1166"/>
      <c r="BX209" s="1166"/>
      <c r="BY209" s="1166"/>
      <c r="BZ209" s="1166"/>
      <c r="CA209" s="1166"/>
      <c r="CB209" s="1166"/>
    </row>
    <row r="210" spans="1:80" s="1156" customFormat="1" x14ac:dyDescent="0.3">
      <c r="A210" s="1154"/>
      <c r="B210" s="1183">
        <v>560</v>
      </c>
      <c r="C210" s="1178"/>
      <c r="D210" s="1176" t="s">
        <v>588</v>
      </c>
      <c r="E210" s="1164"/>
      <c r="F210" s="1165"/>
      <c r="G210" s="1165"/>
      <c r="H210" s="1165"/>
      <c r="I210" s="1165"/>
      <c r="J210" s="1165"/>
      <c r="K210" s="1165"/>
      <c r="L210" s="1166"/>
      <c r="M210" s="1166"/>
      <c r="N210" s="1166"/>
      <c r="O210" s="1166"/>
      <c r="P210" s="1166"/>
      <c r="Q210" s="1166"/>
      <c r="R210" s="1166"/>
      <c r="S210" s="1166"/>
      <c r="T210" s="1166"/>
      <c r="U210" s="1166"/>
      <c r="V210" s="1166"/>
      <c r="W210" s="1166"/>
      <c r="X210" s="1166"/>
      <c r="Y210" s="1166"/>
      <c r="Z210" s="1166"/>
      <c r="AA210" s="1166"/>
      <c r="AB210" s="1166"/>
      <c r="AC210" s="1166"/>
      <c r="AD210" s="1166"/>
      <c r="AE210" s="1166"/>
      <c r="AF210" s="1166"/>
      <c r="AG210" s="1166"/>
      <c r="AH210" s="1166"/>
      <c r="AI210" s="1166"/>
      <c r="AJ210" s="1166"/>
      <c r="AK210" s="1166"/>
      <c r="AL210" s="1166"/>
      <c r="AM210" s="1166"/>
      <c r="AN210" s="1166"/>
      <c r="AO210" s="1166"/>
      <c r="AP210" s="1166"/>
      <c r="AQ210" s="1166"/>
      <c r="AR210" s="1166"/>
      <c r="AS210" s="1166"/>
      <c r="AT210" s="1166"/>
      <c r="AU210" s="1166"/>
      <c r="AV210" s="1166"/>
      <c r="AW210" s="1166"/>
      <c r="AX210" s="1166"/>
      <c r="AY210" s="1166"/>
      <c r="AZ210" s="1166"/>
      <c r="BA210" s="1166"/>
      <c r="BB210" s="1166"/>
      <c r="BC210" s="1166"/>
      <c r="BD210" s="1166"/>
      <c r="BE210" s="1166"/>
      <c r="BF210" s="1166"/>
      <c r="BG210" s="1166"/>
      <c r="BH210" s="1166"/>
      <c r="BI210" s="1166"/>
      <c r="BJ210" s="1166"/>
      <c r="BK210" s="1166"/>
      <c r="BL210" s="1166"/>
      <c r="BM210" s="1166"/>
      <c r="BN210" s="1166"/>
      <c r="BO210" s="1166"/>
      <c r="BP210" s="1166"/>
      <c r="BQ210" s="1166"/>
      <c r="BR210" s="1166"/>
      <c r="BS210" s="1166"/>
      <c r="BT210" s="1166"/>
      <c r="BU210" s="1166"/>
      <c r="BV210" s="1166"/>
      <c r="BW210" s="1166"/>
      <c r="BX210" s="1166"/>
      <c r="BY210" s="1166"/>
      <c r="BZ210" s="1166"/>
      <c r="CA210" s="1166"/>
      <c r="CB210" s="1166"/>
    </row>
    <row r="211" spans="1:80" s="1156" customFormat="1" x14ac:dyDescent="0.3">
      <c r="A211" s="1152"/>
      <c r="B211" s="1183">
        <v>561</v>
      </c>
      <c r="C211" s="1178"/>
      <c r="D211" s="1176" t="s">
        <v>589</v>
      </c>
      <c r="E211" s="1164"/>
      <c r="F211" s="1165"/>
      <c r="G211" s="1165"/>
      <c r="H211" s="1165"/>
      <c r="I211" s="1165"/>
      <c r="J211" s="1165"/>
      <c r="K211" s="1165"/>
      <c r="L211" s="1166"/>
      <c r="M211" s="1166"/>
      <c r="N211" s="1166"/>
      <c r="O211" s="1166"/>
      <c r="P211" s="1166"/>
      <c r="Q211" s="1166"/>
      <c r="R211" s="1166"/>
      <c r="S211" s="1166"/>
      <c r="T211" s="1166"/>
      <c r="U211" s="1166"/>
      <c r="V211" s="1166"/>
      <c r="W211" s="1166"/>
      <c r="X211" s="1166"/>
      <c r="Y211" s="1166"/>
      <c r="Z211" s="1166"/>
      <c r="AA211" s="1166"/>
      <c r="AB211" s="1166"/>
      <c r="AC211" s="1166"/>
      <c r="AD211" s="1166"/>
      <c r="AE211" s="1166"/>
      <c r="AF211" s="1166"/>
      <c r="AG211" s="1166"/>
      <c r="AH211" s="1166"/>
      <c r="AI211" s="1166"/>
      <c r="AJ211" s="1166"/>
      <c r="AK211" s="1166"/>
      <c r="AL211" s="1166"/>
      <c r="AM211" s="1166"/>
      <c r="AN211" s="1166"/>
      <c r="AO211" s="1166"/>
      <c r="AP211" s="1166"/>
      <c r="AQ211" s="1166"/>
      <c r="AR211" s="1166"/>
      <c r="AS211" s="1166"/>
      <c r="AT211" s="1166"/>
      <c r="AU211" s="1166"/>
      <c r="AV211" s="1166"/>
      <c r="AW211" s="1166"/>
      <c r="AX211" s="1166"/>
      <c r="AY211" s="1166"/>
      <c r="AZ211" s="1166"/>
      <c r="BA211" s="1166"/>
      <c r="BB211" s="1166"/>
      <c r="BC211" s="1166"/>
      <c r="BD211" s="1166"/>
      <c r="BE211" s="1166"/>
      <c r="BF211" s="1166"/>
      <c r="BG211" s="1166"/>
      <c r="BH211" s="1166"/>
      <c r="BI211" s="1166"/>
      <c r="BJ211" s="1166"/>
      <c r="BK211" s="1166"/>
      <c r="BL211" s="1166"/>
      <c r="BM211" s="1166"/>
      <c r="BN211" s="1166"/>
      <c r="BO211" s="1166"/>
      <c r="BP211" s="1166"/>
      <c r="BQ211" s="1166"/>
      <c r="BR211" s="1166"/>
      <c r="BS211" s="1166"/>
      <c r="BT211" s="1166"/>
      <c r="BU211" s="1166"/>
      <c r="BV211" s="1166"/>
      <c r="BW211" s="1166"/>
      <c r="BX211" s="1166"/>
      <c r="BY211" s="1166"/>
      <c r="BZ211" s="1166"/>
      <c r="CA211" s="1166"/>
      <c r="CB211" s="1166"/>
    </row>
    <row r="212" spans="1:80" s="1156" customFormat="1" x14ac:dyDescent="0.3">
      <c r="A212" s="1152"/>
      <c r="B212" s="1183">
        <v>562</v>
      </c>
      <c r="C212" s="1178"/>
      <c r="D212" s="1176" t="s">
        <v>590</v>
      </c>
      <c r="E212" s="1164"/>
      <c r="F212" s="1165"/>
      <c r="G212" s="1165"/>
      <c r="H212" s="1165"/>
      <c r="I212" s="1165"/>
      <c r="J212" s="1165"/>
      <c r="K212" s="1165"/>
      <c r="L212" s="1166"/>
      <c r="M212" s="1166"/>
      <c r="N212" s="1166"/>
      <c r="O212" s="1166"/>
      <c r="P212" s="1166"/>
      <c r="Q212" s="1166"/>
      <c r="R212" s="1166"/>
      <c r="S212" s="1166"/>
      <c r="T212" s="1166"/>
      <c r="U212" s="1166"/>
      <c r="V212" s="1166"/>
      <c r="W212" s="1166"/>
      <c r="X212" s="1166"/>
      <c r="Y212" s="1166"/>
      <c r="Z212" s="1166"/>
      <c r="AA212" s="1166"/>
      <c r="AB212" s="1166"/>
      <c r="AC212" s="1166"/>
      <c r="AD212" s="1166"/>
      <c r="AE212" s="1166"/>
      <c r="AF212" s="1166"/>
      <c r="AG212" s="1166"/>
      <c r="AH212" s="1166"/>
      <c r="AI212" s="1166"/>
      <c r="AJ212" s="1166"/>
      <c r="AK212" s="1166"/>
      <c r="AL212" s="1166"/>
      <c r="AM212" s="1166"/>
      <c r="AN212" s="1166"/>
      <c r="AO212" s="1166"/>
      <c r="AP212" s="1166"/>
      <c r="AQ212" s="1166"/>
      <c r="AR212" s="1166"/>
      <c r="AS212" s="1166"/>
      <c r="AT212" s="1166"/>
      <c r="AU212" s="1166"/>
      <c r="AV212" s="1166"/>
      <c r="AW212" s="1166"/>
      <c r="AX212" s="1166"/>
      <c r="AY212" s="1166"/>
      <c r="AZ212" s="1166"/>
      <c r="BA212" s="1166"/>
      <c r="BB212" s="1166"/>
      <c r="BC212" s="1166"/>
      <c r="BD212" s="1166"/>
      <c r="BE212" s="1166"/>
      <c r="BF212" s="1166"/>
      <c r="BG212" s="1166"/>
      <c r="BH212" s="1166"/>
      <c r="BI212" s="1166"/>
      <c r="BJ212" s="1166"/>
      <c r="BK212" s="1166"/>
      <c r="BL212" s="1166"/>
      <c r="BM212" s="1166"/>
      <c r="BN212" s="1166"/>
      <c r="BO212" s="1166"/>
      <c r="BP212" s="1166"/>
      <c r="BQ212" s="1166"/>
      <c r="BR212" s="1166"/>
      <c r="BS212" s="1166"/>
      <c r="BT212" s="1166"/>
      <c r="BU212" s="1166"/>
      <c r="BV212" s="1166"/>
      <c r="BW212" s="1166"/>
      <c r="BX212" s="1166"/>
      <c r="BY212" s="1166"/>
      <c r="BZ212" s="1166"/>
      <c r="CA212" s="1166"/>
      <c r="CB212" s="1166"/>
    </row>
    <row r="213" spans="1:80" s="1156" customFormat="1" x14ac:dyDescent="0.3">
      <c r="A213" s="1154"/>
      <c r="B213" s="1183">
        <v>563</v>
      </c>
      <c r="C213" s="1178"/>
      <c r="D213" s="1176" t="s">
        <v>591</v>
      </c>
      <c r="E213" s="1164"/>
      <c r="F213" s="1165"/>
      <c r="G213" s="1165"/>
      <c r="H213" s="1165"/>
      <c r="I213" s="1165"/>
      <c r="J213" s="1165"/>
      <c r="K213" s="1165"/>
      <c r="L213" s="1166"/>
      <c r="M213" s="1166"/>
      <c r="N213" s="1166"/>
      <c r="O213" s="1166"/>
      <c r="P213" s="1166"/>
      <c r="Q213" s="1166"/>
      <c r="R213" s="1166"/>
      <c r="S213" s="1166"/>
      <c r="T213" s="1166"/>
      <c r="U213" s="1166"/>
      <c r="V213" s="1166"/>
      <c r="W213" s="1166"/>
      <c r="X213" s="1166"/>
      <c r="Y213" s="1166"/>
      <c r="Z213" s="1166"/>
      <c r="AA213" s="1166"/>
      <c r="AB213" s="1166"/>
      <c r="AC213" s="1166"/>
      <c r="AD213" s="1166"/>
      <c r="AE213" s="1166"/>
      <c r="AF213" s="1166"/>
      <c r="AG213" s="1166"/>
      <c r="AH213" s="1166"/>
      <c r="AI213" s="1166"/>
      <c r="AJ213" s="1166"/>
      <c r="AK213" s="1166"/>
      <c r="AL213" s="1166"/>
      <c r="AM213" s="1166"/>
      <c r="AN213" s="1166"/>
      <c r="AO213" s="1166"/>
      <c r="AP213" s="1166"/>
      <c r="AQ213" s="1166"/>
      <c r="AR213" s="1166"/>
      <c r="AS213" s="1166"/>
      <c r="AT213" s="1166"/>
      <c r="AU213" s="1166"/>
      <c r="AV213" s="1166"/>
      <c r="AW213" s="1166"/>
      <c r="AX213" s="1166"/>
      <c r="AY213" s="1166"/>
      <c r="AZ213" s="1166"/>
      <c r="BA213" s="1166"/>
      <c r="BB213" s="1166"/>
      <c r="BC213" s="1166"/>
      <c r="BD213" s="1166"/>
      <c r="BE213" s="1166"/>
      <c r="BF213" s="1166"/>
      <c r="BG213" s="1166"/>
      <c r="BH213" s="1166"/>
      <c r="BI213" s="1166"/>
      <c r="BJ213" s="1166"/>
      <c r="BK213" s="1166"/>
      <c r="BL213" s="1166"/>
      <c r="BM213" s="1166"/>
      <c r="BN213" s="1166"/>
      <c r="BO213" s="1166"/>
      <c r="BP213" s="1166"/>
      <c r="BQ213" s="1166"/>
      <c r="BR213" s="1166"/>
      <c r="BS213" s="1166"/>
      <c r="BT213" s="1166"/>
      <c r="BU213" s="1166"/>
      <c r="BV213" s="1166"/>
      <c r="BW213" s="1166"/>
      <c r="BX213" s="1166"/>
      <c r="BY213" s="1166"/>
      <c r="BZ213" s="1166"/>
      <c r="CA213" s="1166"/>
      <c r="CB213" s="1166"/>
    </row>
    <row r="214" spans="1:80" s="1156" customFormat="1" x14ac:dyDescent="0.3">
      <c r="A214" s="1152"/>
      <c r="B214" s="1183">
        <v>564</v>
      </c>
      <c r="C214" s="1178"/>
      <c r="D214" s="1176" t="s">
        <v>592</v>
      </c>
      <c r="E214" s="1164"/>
      <c r="F214" s="1165"/>
      <c r="G214" s="1165"/>
      <c r="H214" s="1165"/>
      <c r="I214" s="1165"/>
      <c r="J214" s="1165"/>
      <c r="K214" s="1165"/>
      <c r="L214" s="1166"/>
      <c r="M214" s="1166"/>
      <c r="N214" s="1166"/>
      <c r="O214" s="1166"/>
      <c r="P214" s="1166"/>
      <c r="Q214" s="1166"/>
      <c r="R214" s="1166"/>
      <c r="S214" s="1166"/>
      <c r="T214" s="1166"/>
      <c r="U214" s="1166"/>
      <c r="V214" s="1166"/>
      <c r="W214" s="1166"/>
      <c r="X214" s="1166"/>
      <c r="Y214" s="1166"/>
      <c r="Z214" s="1166"/>
      <c r="AA214" s="1166"/>
      <c r="AB214" s="1166"/>
      <c r="AC214" s="1166"/>
      <c r="AD214" s="1166"/>
      <c r="AE214" s="1166"/>
      <c r="AF214" s="1166"/>
      <c r="AG214" s="1166"/>
      <c r="AH214" s="1166"/>
      <c r="AI214" s="1166"/>
      <c r="AJ214" s="1166"/>
      <c r="AK214" s="1166"/>
      <c r="AL214" s="1166"/>
      <c r="AM214" s="1166"/>
      <c r="AN214" s="1166"/>
      <c r="AO214" s="1166"/>
      <c r="AP214" s="1166"/>
      <c r="AQ214" s="1166"/>
      <c r="AR214" s="1166"/>
      <c r="AS214" s="1166"/>
      <c r="AT214" s="1166"/>
      <c r="AU214" s="1166"/>
      <c r="AV214" s="1166"/>
      <c r="AW214" s="1166"/>
      <c r="AX214" s="1166"/>
      <c r="AY214" s="1166"/>
      <c r="AZ214" s="1166"/>
      <c r="BA214" s="1166"/>
      <c r="BB214" s="1166"/>
      <c r="BC214" s="1166"/>
      <c r="BD214" s="1166"/>
      <c r="BE214" s="1166"/>
      <c r="BF214" s="1166"/>
      <c r="BG214" s="1166"/>
      <c r="BH214" s="1166"/>
      <c r="BI214" s="1166"/>
      <c r="BJ214" s="1166"/>
      <c r="BK214" s="1166"/>
      <c r="BL214" s="1166"/>
      <c r="BM214" s="1166"/>
      <c r="BN214" s="1166"/>
      <c r="BO214" s="1166"/>
      <c r="BP214" s="1166"/>
      <c r="BQ214" s="1166"/>
      <c r="BR214" s="1166"/>
      <c r="BS214" s="1166"/>
      <c r="BT214" s="1166"/>
      <c r="BU214" s="1166"/>
      <c r="BV214" s="1166"/>
      <c r="BW214" s="1166"/>
      <c r="BX214" s="1166"/>
      <c r="BY214" s="1166"/>
      <c r="BZ214" s="1166"/>
      <c r="CA214" s="1166"/>
      <c r="CB214" s="1166"/>
    </row>
    <row r="215" spans="1:80" s="1156" customFormat="1" x14ac:dyDescent="0.3">
      <c r="A215" s="1154"/>
      <c r="B215" s="1183">
        <v>565</v>
      </c>
      <c r="C215" s="1178"/>
      <c r="D215" s="1176" t="s">
        <v>593</v>
      </c>
      <c r="E215" s="1164"/>
      <c r="F215" s="1165"/>
      <c r="G215" s="1165"/>
      <c r="H215" s="1165"/>
      <c r="I215" s="1165"/>
      <c r="J215" s="1165"/>
      <c r="K215" s="1165"/>
      <c r="L215" s="1166"/>
      <c r="M215" s="1166"/>
      <c r="N215" s="1166"/>
      <c r="O215" s="1166"/>
      <c r="P215" s="1166"/>
      <c r="Q215" s="1166"/>
      <c r="R215" s="1166"/>
      <c r="S215" s="1166"/>
      <c r="T215" s="1166"/>
      <c r="U215" s="1166"/>
      <c r="V215" s="1166"/>
      <c r="W215" s="1166"/>
      <c r="X215" s="1166"/>
      <c r="Y215" s="1166"/>
      <c r="Z215" s="1166"/>
      <c r="AA215" s="1166"/>
      <c r="AB215" s="1166"/>
      <c r="AC215" s="1166"/>
      <c r="AD215" s="1166"/>
      <c r="AE215" s="1166"/>
      <c r="AF215" s="1166"/>
      <c r="AG215" s="1166"/>
      <c r="AH215" s="1166"/>
      <c r="AI215" s="1166"/>
      <c r="AJ215" s="1166"/>
      <c r="AK215" s="1166"/>
      <c r="AL215" s="1166"/>
      <c r="AM215" s="1166"/>
      <c r="AN215" s="1166"/>
      <c r="AO215" s="1166"/>
      <c r="AP215" s="1166"/>
      <c r="AQ215" s="1166"/>
      <c r="AR215" s="1166"/>
      <c r="AS215" s="1166"/>
      <c r="AT215" s="1166"/>
      <c r="AU215" s="1166"/>
      <c r="AV215" s="1166"/>
      <c r="AW215" s="1166"/>
      <c r="AX215" s="1166"/>
      <c r="AY215" s="1166"/>
      <c r="AZ215" s="1166"/>
      <c r="BA215" s="1166"/>
      <c r="BB215" s="1166"/>
      <c r="BC215" s="1166"/>
      <c r="BD215" s="1166"/>
      <c r="BE215" s="1166"/>
      <c r="BF215" s="1166"/>
      <c r="BG215" s="1166"/>
      <c r="BH215" s="1166"/>
      <c r="BI215" s="1166"/>
      <c r="BJ215" s="1166"/>
      <c r="BK215" s="1166"/>
      <c r="BL215" s="1166"/>
      <c r="BM215" s="1166"/>
      <c r="BN215" s="1166"/>
      <c r="BO215" s="1166"/>
      <c r="BP215" s="1166"/>
      <c r="BQ215" s="1166"/>
      <c r="BR215" s="1166"/>
      <c r="BS215" s="1166"/>
      <c r="BT215" s="1166"/>
      <c r="BU215" s="1166"/>
      <c r="BV215" s="1166"/>
      <c r="BW215" s="1166"/>
      <c r="BX215" s="1166"/>
      <c r="BY215" s="1166"/>
      <c r="BZ215" s="1166"/>
      <c r="CA215" s="1166"/>
      <c r="CB215" s="1166"/>
    </row>
    <row r="216" spans="1:80" s="1156" customFormat="1" x14ac:dyDescent="0.3">
      <c r="A216" s="1154"/>
      <c r="B216" s="1183">
        <v>566</v>
      </c>
      <c r="C216" s="1178"/>
      <c r="D216" s="1176" t="s">
        <v>594</v>
      </c>
      <c r="E216" s="1164"/>
      <c r="F216" s="1165"/>
      <c r="G216" s="1165"/>
      <c r="H216" s="1165"/>
      <c r="I216" s="1165"/>
      <c r="J216" s="1165"/>
      <c r="K216" s="1165"/>
      <c r="L216" s="1166"/>
      <c r="M216" s="1166"/>
      <c r="N216" s="1166"/>
      <c r="O216" s="1166"/>
      <c r="P216" s="1166"/>
      <c r="Q216" s="1166"/>
      <c r="R216" s="1166"/>
      <c r="S216" s="1166"/>
      <c r="T216" s="1166"/>
      <c r="U216" s="1166"/>
      <c r="V216" s="1166"/>
      <c r="W216" s="1166"/>
      <c r="X216" s="1166"/>
      <c r="Y216" s="1166"/>
      <c r="Z216" s="1166"/>
      <c r="AA216" s="1166"/>
      <c r="AB216" s="1166"/>
      <c r="AC216" s="1166"/>
      <c r="AD216" s="1166"/>
      <c r="AE216" s="1166"/>
      <c r="AF216" s="1166"/>
      <c r="AG216" s="1166"/>
      <c r="AH216" s="1166"/>
      <c r="AI216" s="1166"/>
      <c r="AJ216" s="1166"/>
      <c r="AK216" s="1166"/>
      <c r="AL216" s="1166"/>
      <c r="AM216" s="1166"/>
      <c r="AN216" s="1166"/>
      <c r="AO216" s="1166"/>
      <c r="AP216" s="1166"/>
      <c r="AQ216" s="1166"/>
      <c r="AR216" s="1166"/>
      <c r="AS216" s="1166"/>
      <c r="AT216" s="1166"/>
      <c r="AU216" s="1166"/>
      <c r="AV216" s="1166"/>
      <c r="AW216" s="1166"/>
      <c r="AX216" s="1166"/>
      <c r="AY216" s="1166"/>
      <c r="AZ216" s="1166"/>
      <c r="BA216" s="1166"/>
      <c r="BB216" s="1166"/>
      <c r="BC216" s="1166"/>
      <c r="BD216" s="1166"/>
      <c r="BE216" s="1166"/>
      <c r="BF216" s="1166"/>
      <c r="BG216" s="1166"/>
      <c r="BH216" s="1166"/>
      <c r="BI216" s="1166"/>
      <c r="BJ216" s="1166"/>
      <c r="BK216" s="1166"/>
      <c r="BL216" s="1166"/>
      <c r="BM216" s="1166"/>
      <c r="BN216" s="1166"/>
      <c r="BO216" s="1166"/>
      <c r="BP216" s="1166"/>
      <c r="BQ216" s="1166"/>
      <c r="BR216" s="1166"/>
      <c r="BS216" s="1166"/>
      <c r="BT216" s="1166"/>
      <c r="BU216" s="1166"/>
      <c r="BV216" s="1166"/>
      <c r="BW216" s="1166"/>
      <c r="BX216" s="1166"/>
      <c r="BY216" s="1166"/>
      <c r="BZ216" s="1166"/>
      <c r="CA216" s="1166"/>
      <c r="CB216" s="1166"/>
    </row>
    <row r="217" spans="1:80" s="1156" customFormat="1" x14ac:dyDescent="0.3">
      <c r="A217" s="1154"/>
      <c r="B217" s="1183">
        <v>567</v>
      </c>
      <c r="C217" s="1178"/>
      <c r="D217" s="1176" t="s">
        <v>595</v>
      </c>
      <c r="E217" s="1164"/>
      <c r="F217" s="1165"/>
      <c r="G217" s="1165"/>
      <c r="H217" s="1165"/>
      <c r="I217" s="1165"/>
      <c r="J217" s="1165"/>
      <c r="K217" s="1165"/>
      <c r="L217" s="1166"/>
      <c r="M217" s="1166"/>
      <c r="N217" s="1166"/>
      <c r="O217" s="1166"/>
      <c r="P217" s="1166"/>
      <c r="Q217" s="1166"/>
      <c r="R217" s="1166"/>
      <c r="S217" s="1166"/>
      <c r="T217" s="1166"/>
      <c r="U217" s="1166"/>
      <c r="V217" s="1166"/>
      <c r="W217" s="1166"/>
      <c r="X217" s="1166"/>
      <c r="Y217" s="1166"/>
      <c r="Z217" s="1166"/>
      <c r="AA217" s="1166"/>
      <c r="AB217" s="1166"/>
      <c r="AC217" s="1166"/>
      <c r="AD217" s="1166"/>
      <c r="AE217" s="1166"/>
      <c r="AF217" s="1166"/>
      <c r="AG217" s="1166"/>
      <c r="AH217" s="1166"/>
      <c r="AI217" s="1166"/>
      <c r="AJ217" s="1166"/>
      <c r="AK217" s="1166"/>
      <c r="AL217" s="1166"/>
      <c r="AM217" s="1166"/>
      <c r="AN217" s="1166"/>
      <c r="AO217" s="1166"/>
      <c r="AP217" s="1166"/>
      <c r="AQ217" s="1166"/>
      <c r="AR217" s="1166"/>
      <c r="AS217" s="1166"/>
      <c r="AT217" s="1166"/>
      <c r="AU217" s="1166"/>
      <c r="AV217" s="1166"/>
      <c r="AW217" s="1166"/>
      <c r="AX217" s="1166"/>
      <c r="AY217" s="1166"/>
      <c r="AZ217" s="1166"/>
      <c r="BA217" s="1166"/>
      <c r="BB217" s="1166"/>
      <c r="BC217" s="1166"/>
      <c r="BD217" s="1166"/>
      <c r="BE217" s="1166"/>
      <c r="BF217" s="1166"/>
      <c r="BG217" s="1166"/>
      <c r="BH217" s="1166"/>
      <c r="BI217" s="1166"/>
      <c r="BJ217" s="1166"/>
      <c r="BK217" s="1166"/>
      <c r="BL217" s="1166"/>
      <c r="BM217" s="1166"/>
      <c r="BN217" s="1166"/>
      <c r="BO217" s="1166"/>
      <c r="BP217" s="1166"/>
      <c r="BQ217" s="1166"/>
      <c r="BR217" s="1166"/>
      <c r="BS217" s="1166"/>
      <c r="BT217" s="1166"/>
      <c r="BU217" s="1166"/>
      <c r="BV217" s="1166"/>
      <c r="BW217" s="1166"/>
      <c r="BX217" s="1166"/>
      <c r="BY217" s="1166"/>
      <c r="BZ217" s="1166"/>
      <c r="CA217" s="1166"/>
      <c r="CB217" s="1166"/>
    </row>
    <row r="218" spans="1:80" s="1156" customFormat="1" x14ac:dyDescent="0.3">
      <c r="A218" s="1154"/>
      <c r="B218" s="1183">
        <v>568</v>
      </c>
      <c r="C218" s="1178"/>
      <c r="D218" s="1176" t="s">
        <v>596</v>
      </c>
      <c r="E218" s="1164"/>
      <c r="F218" s="1165"/>
      <c r="G218" s="1165"/>
      <c r="H218" s="1165"/>
      <c r="I218" s="1165"/>
      <c r="J218" s="1165"/>
      <c r="K218" s="1165"/>
      <c r="L218" s="1166"/>
      <c r="M218" s="1166"/>
      <c r="N218" s="1166"/>
      <c r="O218" s="1166"/>
      <c r="P218" s="1166"/>
      <c r="Q218" s="1166"/>
      <c r="R218" s="1166"/>
      <c r="S218" s="1166"/>
      <c r="T218" s="1166"/>
      <c r="U218" s="1166"/>
      <c r="V218" s="1166"/>
      <c r="W218" s="1166"/>
      <c r="X218" s="1166"/>
      <c r="Y218" s="1166"/>
      <c r="Z218" s="1166"/>
      <c r="AA218" s="1166"/>
      <c r="AB218" s="1166"/>
      <c r="AC218" s="1166"/>
      <c r="AD218" s="1166"/>
      <c r="AE218" s="1166"/>
      <c r="AF218" s="1166"/>
      <c r="AG218" s="1166"/>
      <c r="AH218" s="1166"/>
      <c r="AI218" s="1166"/>
      <c r="AJ218" s="1166"/>
      <c r="AK218" s="1166"/>
      <c r="AL218" s="1166"/>
      <c r="AM218" s="1166"/>
      <c r="AN218" s="1166"/>
      <c r="AO218" s="1166"/>
      <c r="AP218" s="1166"/>
      <c r="AQ218" s="1166"/>
      <c r="AR218" s="1166"/>
      <c r="AS218" s="1166"/>
      <c r="AT218" s="1166"/>
      <c r="AU218" s="1166"/>
      <c r="AV218" s="1166"/>
      <c r="AW218" s="1166"/>
      <c r="AX218" s="1166"/>
      <c r="AY218" s="1166"/>
      <c r="AZ218" s="1166"/>
      <c r="BA218" s="1166"/>
      <c r="BB218" s="1166"/>
      <c r="BC218" s="1166"/>
      <c r="BD218" s="1166"/>
      <c r="BE218" s="1166"/>
      <c r="BF218" s="1166"/>
      <c r="BG218" s="1166"/>
      <c r="BH218" s="1166"/>
      <c r="BI218" s="1166"/>
      <c r="BJ218" s="1166"/>
      <c r="BK218" s="1166"/>
      <c r="BL218" s="1166"/>
      <c r="BM218" s="1166"/>
      <c r="BN218" s="1166"/>
      <c r="BO218" s="1166"/>
      <c r="BP218" s="1166"/>
      <c r="BQ218" s="1166"/>
      <c r="BR218" s="1166"/>
      <c r="BS218" s="1166"/>
      <c r="BT218" s="1166"/>
      <c r="BU218" s="1166"/>
      <c r="BV218" s="1166"/>
      <c r="BW218" s="1166"/>
      <c r="BX218" s="1166"/>
      <c r="BY218" s="1166"/>
      <c r="BZ218" s="1166"/>
      <c r="CA218" s="1166"/>
      <c r="CB218" s="1166"/>
    </row>
    <row r="219" spans="1:80" s="1156" customFormat="1" x14ac:dyDescent="0.3">
      <c r="A219" s="1154"/>
      <c r="B219" s="1183">
        <v>569</v>
      </c>
      <c r="C219" s="1178"/>
      <c r="D219" s="1176" t="s">
        <v>597</v>
      </c>
      <c r="E219" s="1164"/>
      <c r="F219" s="1165"/>
      <c r="G219" s="1165"/>
      <c r="H219" s="1165"/>
      <c r="I219" s="1165"/>
      <c r="J219" s="1165"/>
      <c r="K219" s="1165"/>
      <c r="L219" s="1166"/>
      <c r="M219" s="1166"/>
      <c r="N219" s="1166"/>
      <c r="O219" s="1166"/>
      <c r="P219" s="1166"/>
      <c r="Q219" s="1166"/>
      <c r="R219" s="1166"/>
      <c r="S219" s="1166"/>
      <c r="T219" s="1166"/>
      <c r="U219" s="1166"/>
      <c r="V219" s="1166"/>
      <c r="W219" s="1166"/>
      <c r="X219" s="1166"/>
      <c r="Y219" s="1166"/>
      <c r="Z219" s="1166"/>
      <c r="AA219" s="1166"/>
      <c r="AB219" s="1166"/>
      <c r="AC219" s="1166"/>
      <c r="AD219" s="1166"/>
      <c r="AE219" s="1166"/>
      <c r="AF219" s="1166"/>
      <c r="AG219" s="1166"/>
      <c r="AH219" s="1166"/>
      <c r="AI219" s="1166"/>
      <c r="AJ219" s="1166"/>
      <c r="AK219" s="1166"/>
      <c r="AL219" s="1166"/>
      <c r="AM219" s="1166"/>
      <c r="AN219" s="1166"/>
      <c r="AO219" s="1166"/>
      <c r="AP219" s="1166"/>
      <c r="AQ219" s="1166"/>
      <c r="AR219" s="1166"/>
      <c r="AS219" s="1166"/>
      <c r="AT219" s="1166"/>
      <c r="AU219" s="1166"/>
      <c r="AV219" s="1166"/>
      <c r="AW219" s="1166"/>
      <c r="AX219" s="1166"/>
      <c r="AY219" s="1166"/>
      <c r="AZ219" s="1166"/>
      <c r="BA219" s="1166"/>
      <c r="BB219" s="1166"/>
      <c r="BC219" s="1166"/>
      <c r="BD219" s="1166"/>
      <c r="BE219" s="1166"/>
      <c r="BF219" s="1166"/>
      <c r="BG219" s="1166"/>
      <c r="BH219" s="1166"/>
      <c r="BI219" s="1166"/>
      <c r="BJ219" s="1166"/>
      <c r="BK219" s="1166"/>
      <c r="BL219" s="1166"/>
      <c r="BM219" s="1166"/>
      <c r="BN219" s="1166"/>
      <c r="BO219" s="1166"/>
      <c r="BP219" s="1166"/>
      <c r="BQ219" s="1166"/>
      <c r="BR219" s="1166"/>
      <c r="BS219" s="1166"/>
      <c r="BT219" s="1166"/>
      <c r="BU219" s="1166"/>
      <c r="BV219" s="1166"/>
      <c r="BW219" s="1166"/>
      <c r="BX219" s="1166"/>
      <c r="BY219" s="1166"/>
      <c r="BZ219" s="1166"/>
      <c r="CA219" s="1166"/>
      <c r="CB219" s="1166"/>
    </row>
    <row r="220" spans="1:80" s="1156" customFormat="1" x14ac:dyDescent="0.3">
      <c r="A220" s="1154"/>
      <c r="B220" s="1183">
        <v>570</v>
      </c>
      <c r="C220" s="1178"/>
      <c r="D220" s="1176" t="s">
        <v>598</v>
      </c>
      <c r="E220" s="1164"/>
      <c r="F220" s="1165"/>
      <c r="G220" s="1165"/>
      <c r="H220" s="1165"/>
      <c r="I220" s="1165"/>
      <c r="J220" s="1165"/>
      <c r="K220" s="1165"/>
      <c r="L220" s="1166"/>
      <c r="M220" s="1166"/>
      <c r="N220" s="1166"/>
      <c r="O220" s="1166"/>
      <c r="P220" s="1166"/>
      <c r="Q220" s="1166"/>
      <c r="R220" s="1166"/>
      <c r="S220" s="1166"/>
      <c r="T220" s="1166"/>
      <c r="U220" s="1166"/>
      <c r="V220" s="1166"/>
      <c r="W220" s="1166"/>
      <c r="X220" s="1166"/>
      <c r="Y220" s="1166"/>
      <c r="Z220" s="1166"/>
      <c r="AA220" s="1166"/>
      <c r="AB220" s="1166"/>
      <c r="AC220" s="1166"/>
      <c r="AD220" s="1166"/>
      <c r="AE220" s="1166"/>
      <c r="AF220" s="1166"/>
      <c r="AG220" s="1166"/>
      <c r="AH220" s="1166"/>
      <c r="AI220" s="1166"/>
      <c r="AJ220" s="1166"/>
      <c r="AK220" s="1166"/>
      <c r="AL220" s="1166"/>
      <c r="AM220" s="1166"/>
      <c r="AN220" s="1166"/>
      <c r="AO220" s="1166"/>
      <c r="AP220" s="1166"/>
      <c r="AQ220" s="1166"/>
      <c r="AR220" s="1166"/>
      <c r="AS220" s="1166"/>
      <c r="AT220" s="1166"/>
      <c r="AU220" s="1166"/>
      <c r="AV220" s="1166"/>
      <c r="AW220" s="1166"/>
      <c r="AX220" s="1166"/>
      <c r="AY220" s="1166"/>
      <c r="AZ220" s="1166"/>
      <c r="BA220" s="1166"/>
      <c r="BB220" s="1166"/>
      <c r="BC220" s="1166"/>
      <c r="BD220" s="1166"/>
      <c r="BE220" s="1166"/>
      <c r="BF220" s="1166"/>
      <c r="BG220" s="1166"/>
      <c r="BH220" s="1166"/>
      <c r="BI220" s="1166"/>
      <c r="BJ220" s="1166"/>
      <c r="BK220" s="1166"/>
      <c r="BL220" s="1166"/>
      <c r="BM220" s="1166"/>
      <c r="BN220" s="1166"/>
      <c r="BO220" s="1166"/>
      <c r="BP220" s="1166"/>
      <c r="BQ220" s="1166"/>
      <c r="BR220" s="1166"/>
      <c r="BS220" s="1166"/>
      <c r="BT220" s="1166"/>
      <c r="BU220" s="1166"/>
      <c r="BV220" s="1166"/>
      <c r="BW220" s="1166"/>
      <c r="BX220" s="1166"/>
      <c r="BY220" s="1166"/>
      <c r="BZ220" s="1166"/>
      <c r="CA220" s="1166"/>
      <c r="CB220" s="1166"/>
    </row>
    <row r="221" spans="1:80" s="1156" customFormat="1" x14ac:dyDescent="0.3">
      <c r="A221" s="1154"/>
      <c r="B221" s="1183">
        <v>571</v>
      </c>
      <c r="C221" s="1178"/>
      <c r="D221" s="1176" t="s">
        <v>599</v>
      </c>
      <c r="E221" s="1164"/>
      <c r="F221" s="1165"/>
      <c r="G221" s="1165"/>
      <c r="H221" s="1165"/>
      <c r="I221" s="1165"/>
      <c r="J221" s="1165"/>
      <c r="K221" s="1165"/>
      <c r="L221" s="1166"/>
      <c r="M221" s="1166"/>
      <c r="N221" s="1166"/>
      <c r="O221" s="1166"/>
      <c r="P221" s="1166"/>
      <c r="Q221" s="1166"/>
      <c r="R221" s="1166"/>
      <c r="S221" s="1166"/>
      <c r="T221" s="1166"/>
      <c r="U221" s="1166"/>
      <c r="V221" s="1166"/>
      <c r="W221" s="1166"/>
      <c r="X221" s="1166"/>
      <c r="Y221" s="1166"/>
      <c r="Z221" s="1166"/>
      <c r="AA221" s="1166"/>
      <c r="AB221" s="1166"/>
      <c r="AC221" s="1166"/>
      <c r="AD221" s="1166"/>
      <c r="AE221" s="1166"/>
      <c r="AF221" s="1166"/>
      <c r="AG221" s="1166"/>
      <c r="AH221" s="1166"/>
      <c r="AI221" s="1166"/>
      <c r="AJ221" s="1166"/>
      <c r="AK221" s="1166"/>
      <c r="AL221" s="1166"/>
      <c r="AM221" s="1166"/>
      <c r="AN221" s="1166"/>
      <c r="AO221" s="1166"/>
      <c r="AP221" s="1166"/>
      <c r="AQ221" s="1166"/>
      <c r="AR221" s="1166"/>
      <c r="AS221" s="1166"/>
      <c r="AT221" s="1166"/>
      <c r="AU221" s="1166"/>
      <c r="AV221" s="1166"/>
      <c r="AW221" s="1166"/>
      <c r="AX221" s="1166"/>
      <c r="AY221" s="1166"/>
      <c r="AZ221" s="1166"/>
      <c r="BA221" s="1166"/>
      <c r="BB221" s="1166"/>
      <c r="BC221" s="1166"/>
      <c r="BD221" s="1166"/>
      <c r="BE221" s="1166"/>
      <c r="BF221" s="1166"/>
      <c r="BG221" s="1166"/>
      <c r="BH221" s="1166"/>
      <c r="BI221" s="1166"/>
      <c r="BJ221" s="1166"/>
      <c r="BK221" s="1166"/>
      <c r="BL221" s="1166"/>
      <c r="BM221" s="1166"/>
      <c r="BN221" s="1166"/>
      <c r="BO221" s="1166"/>
      <c r="BP221" s="1166"/>
      <c r="BQ221" s="1166"/>
      <c r="BR221" s="1166"/>
      <c r="BS221" s="1166"/>
      <c r="BT221" s="1166"/>
      <c r="BU221" s="1166"/>
      <c r="BV221" s="1166"/>
      <c r="BW221" s="1166"/>
      <c r="BX221" s="1166"/>
      <c r="BY221" s="1166"/>
      <c r="BZ221" s="1166"/>
      <c r="CA221" s="1166"/>
      <c r="CB221" s="1166"/>
    </row>
    <row r="222" spans="1:80" s="1156" customFormat="1" x14ac:dyDescent="0.3">
      <c r="A222" s="1154"/>
      <c r="B222" s="1183">
        <v>572</v>
      </c>
      <c r="C222" s="1178"/>
      <c r="D222" s="1176" t="s">
        <v>600</v>
      </c>
      <c r="E222" s="1164"/>
      <c r="F222" s="1165"/>
      <c r="G222" s="1165"/>
      <c r="H222" s="1165"/>
      <c r="I222" s="1165"/>
      <c r="J222" s="1165"/>
      <c r="K222" s="1165"/>
      <c r="L222" s="1166"/>
      <c r="M222" s="1166"/>
      <c r="N222" s="1166"/>
      <c r="O222" s="1166"/>
      <c r="P222" s="1166"/>
      <c r="Q222" s="1166"/>
      <c r="R222" s="1166"/>
      <c r="S222" s="1166"/>
      <c r="T222" s="1166"/>
      <c r="U222" s="1166"/>
      <c r="V222" s="1166"/>
      <c r="W222" s="1166"/>
      <c r="X222" s="1166"/>
      <c r="Y222" s="1166"/>
      <c r="Z222" s="1166"/>
      <c r="AA222" s="1166"/>
      <c r="AB222" s="1166"/>
      <c r="AC222" s="1166"/>
      <c r="AD222" s="1166"/>
      <c r="AE222" s="1166"/>
      <c r="AF222" s="1166"/>
      <c r="AG222" s="1166"/>
      <c r="AH222" s="1166"/>
      <c r="AI222" s="1166"/>
      <c r="AJ222" s="1166"/>
      <c r="AK222" s="1166"/>
      <c r="AL222" s="1166"/>
      <c r="AM222" s="1166"/>
      <c r="AN222" s="1166"/>
      <c r="AO222" s="1166"/>
      <c r="AP222" s="1166"/>
      <c r="AQ222" s="1166"/>
      <c r="AR222" s="1166"/>
      <c r="AS222" s="1166"/>
      <c r="AT222" s="1166"/>
      <c r="AU222" s="1166"/>
      <c r="AV222" s="1166"/>
      <c r="AW222" s="1166"/>
      <c r="AX222" s="1166"/>
      <c r="AY222" s="1166"/>
      <c r="AZ222" s="1166"/>
      <c r="BA222" s="1166"/>
      <c r="BB222" s="1166"/>
      <c r="BC222" s="1166"/>
      <c r="BD222" s="1166"/>
      <c r="BE222" s="1166"/>
      <c r="BF222" s="1166"/>
      <c r="BG222" s="1166"/>
      <c r="BH222" s="1166"/>
      <c r="BI222" s="1166"/>
      <c r="BJ222" s="1166"/>
      <c r="BK222" s="1166"/>
      <c r="BL222" s="1166"/>
      <c r="BM222" s="1166"/>
      <c r="BN222" s="1166"/>
      <c r="BO222" s="1166"/>
      <c r="BP222" s="1166"/>
      <c r="BQ222" s="1166"/>
      <c r="BR222" s="1166"/>
      <c r="BS222" s="1166"/>
      <c r="BT222" s="1166"/>
      <c r="BU222" s="1166"/>
      <c r="BV222" s="1166"/>
      <c r="BW222" s="1166"/>
      <c r="BX222" s="1166"/>
      <c r="BY222" s="1166"/>
      <c r="BZ222" s="1166"/>
      <c r="CA222" s="1166"/>
      <c r="CB222" s="1166"/>
    </row>
    <row r="223" spans="1:80" s="1156" customFormat="1" x14ac:dyDescent="0.3">
      <c r="A223" s="1154"/>
      <c r="B223" s="1183">
        <v>573</v>
      </c>
      <c r="C223" s="1178"/>
      <c r="D223" s="1176" t="s">
        <v>601</v>
      </c>
      <c r="E223" s="1164"/>
      <c r="F223" s="1165"/>
      <c r="G223" s="1165"/>
      <c r="H223" s="1165"/>
      <c r="I223" s="1165"/>
      <c r="J223" s="1165"/>
      <c r="K223" s="1165"/>
      <c r="L223" s="1166"/>
      <c r="M223" s="1166"/>
      <c r="N223" s="1166"/>
      <c r="O223" s="1166"/>
      <c r="P223" s="1166"/>
      <c r="Q223" s="1166"/>
      <c r="R223" s="1166"/>
      <c r="S223" s="1166"/>
      <c r="T223" s="1166"/>
      <c r="U223" s="1166"/>
      <c r="V223" s="1166"/>
      <c r="W223" s="1166"/>
      <c r="X223" s="1166"/>
      <c r="Y223" s="1166"/>
      <c r="Z223" s="1166"/>
      <c r="AA223" s="1166"/>
      <c r="AB223" s="1166"/>
      <c r="AC223" s="1166"/>
      <c r="AD223" s="1166"/>
      <c r="AE223" s="1166"/>
      <c r="AF223" s="1166"/>
      <c r="AG223" s="1166"/>
      <c r="AH223" s="1166"/>
      <c r="AI223" s="1166"/>
      <c r="AJ223" s="1166"/>
      <c r="AK223" s="1166"/>
      <c r="AL223" s="1166"/>
      <c r="AM223" s="1166"/>
      <c r="AN223" s="1166"/>
      <c r="AO223" s="1166"/>
      <c r="AP223" s="1166"/>
      <c r="AQ223" s="1166"/>
      <c r="AR223" s="1166"/>
      <c r="AS223" s="1166"/>
      <c r="AT223" s="1166"/>
      <c r="AU223" s="1166"/>
      <c r="AV223" s="1166"/>
      <c r="AW223" s="1166"/>
      <c r="AX223" s="1166"/>
      <c r="AY223" s="1166"/>
      <c r="AZ223" s="1166"/>
      <c r="BA223" s="1166"/>
      <c r="BB223" s="1166"/>
      <c r="BC223" s="1166"/>
      <c r="BD223" s="1166"/>
      <c r="BE223" s="1166"/>
      <c r="BF223" s="1166"/>
      <c r="BG223" s="1166"/>
      <c r="BH223" s="1166"/>
      <c r="BI223" s="1166"/>
      <c r="BJ223" s="1166"/>
      <c r="BK223" s="1166"/>
      <c r="BL223" s="1166"/>
      <c r="BM223" s="1166"/>
      <c r="BN223" s="1166"/>
      <c r="BO223" s="1166"/>
      <c r="BP223" s="1166"/>
      <c r="BQ223" s="1166"/>
      <c r="BR223" s="1166"/>
      <c r="BS223" s="1166"/>
      <c r="BT223" s="1166"/>
      <c r="BU223" s="1166"/>
      <c r="BV223" s="1166"/>
      <c r="BW223" s="1166"/>
      <c r="BX223" s="1166"/>
      <c r="BY223" s="1166"/>
      <c r="BZ223" s="1166"/>
      <c r="CA223" s="1166"/>
      <c r="CB223" s="1166"/>
    </row>
    <row r="224" spans="1:80" s="1156" customFormat="1" x14ac:dyDescent="0.3">
      <c r="A224" s="1154"/>
      <c r="B224" s="1183">
        <v>574</v>
      </c>
      <c r="C224" s="1178"/>
      <c r="D224" s="1176" t="s">
        <v>602</v>
      </c>
      <c r="E224" s="1164"/>
      <c r="F224" s="1165"/>
      <c r="G224" s="1165"/>
      <c r="H224" s="1165"/>
      <c r="I224" s="1165"/>
      <c r="J224" s="1165"/>
      <c r="K224" s="1165"/>
      <c r="L224" s="1166"/>
      <c r="M224" s="1166"/>
      <c r="N224" s="1166"/>
      <c r="O224" s="1166"/>
      <c r="P224" s="1166"/>
      <c r="Q224" s="1166"/>
      <c r="R224" s="1166"/>
      <c r="S224" s="1166"/>
      <c r="T224" s="1166"/>
      <c r="U224" s="1166"/>
      <c r="V224" s="1166"/>
      <c r="W224" s="1166"/>
      <c r="X224" s="1166"/>
      <c r="Y224" s="1166"/>
      <c r="Z224" s="1166"/>
      <c r="AA224" s="1166"/>
      <c r="AB224" s="1166"/>
      <c r="AC224" s="1166"/>
      <c r="AD224" s="1166"/>
      <c r="AE224" s="1166"/>
      <c r="AF224" s="1166"/>
      <c r="AG224" s="1166"/>
      <c r="AH224" s="1166"/>
      <c r="AI224" s="1166"/>
      <c r="AJ224" s="1166"/>
      <c r="AK224" s="1166"/>
      <c r="AL224" s="1166"/>
      <c r="AM224" s="1166"/>
      <c r="AN224" s="1166"/>
      <c r="AO224" s="1166"/>
      <c r="AP224" s="1166"/>
      <c r="AQ224" s="1166"/>
      <c r="AR224" s="1166"/>
      <c r="AS224" s="1166"/>
      <c r="AT224" s="1166"/>
      <c r="AU224" s="1166"/>
      <c r="AV224" s="1166"/>
      <c r="AW224" s="1166"/>
      <c r="AX224" s="1166"/>
      <c r="AY224" s="1166"/>
      <c r="AZ224" s="1166"/>
      <c r="BA224" s="1166"/>
      <c r="BB224" s="1166"/>
      <c r="BC224" s="1166"/>
      <c r="BD224" s="1166"/>
      <c r="BE224" s="1166"/>
      <c r="BF224" s="1166"/>
      <c r="BG224" s="1166"/>
      <c r="BH224" s="1166"/>
      <c r="BI224" s="1166"/>
      <c r="BJ224" s="1166"/>
      <c r="BK224" s="1166"/>
      <c r="BL224" s="1166"/>
      <c r="BM224" s="1166"/>
      <c r="BN224" s="1166"/>
      <c r="BO224" s="1166"/>
      <c r="BP224" s="1166"/>
      <c r="BQ224" s="1166"/>
      <c r="BR224" s="1166"/>
      <c r="BS224" s="1166"/>
      <c r="BT224" s="1166"/>
      <c r="BU224" s="1166"/>
      <c r="BV224" s="1166"/>
      <c r="BW224" s="1166"/>
      <c r="BX224" s="1166"/>
      <c r="BY224" s="1166"/>
      <c r="BZ224" s="1166"/>
      <c r="CA224" s="1166"/>
      <c r="CB224" s="1166"/>
    </row>
    <row r="225" spans="1:80" s="1156" customFormat="1" x14ac:dyDescent="0.3">
      <c r="A225" s="1161">
        <v>575</v>
      </c>
      <c r="B225" s="1184">
        <v>575</v>
      </c>
      <c r="C225" s="1184" t="s">
        <v>547</v>
      </c>
      <c r="D225" s="1184" t="s">
        <v>643</v>
      </c>
      <c r="E225" s="1164">
        <v>0</v>
      </c>
      <c r="F225" s="1165">
        <v>0</v>
      </c>
      <c r="G225" s="1165">
        <v>0</v>
      </c>
      <c r="H225" s="1165">
        <v>0</v>
      </c>
      <c r="I225" s="1165">
        <v>0</v>
      </c>
      <c r="J225" s="1165">
        <v>27196</v>
      </c>
      <c r="K225" s="1165">
        <v>0</v>
      </c>
      <c r="L225" s="1166">
        <v>324782</v>
      </c>
      <c r="M225" s="1166">
        <v>0</v>
      </c>
      <c r="N225" s="1166">
        <v>0</v>
      </c>
      <c r="O225" s="1166">
        <v>0</v>
      </c>
      <c r="P225" s="1166">
        <v>0</v>
      </c>
      <c r="Q225" s="1166">
        <v>0</v>
      </c>
      <c r="R225" s="1166">
        <v>0</v>
      </c>
      <c r="S225" s="1166">
        <v>0</v>
      </c>
      <c r="T225" s="1166">
        <v>0</v>
      </c>
      <c r="U225" s="1166">
        <v>0</v>
      </c>
      <c r="V225" s="1166">
        <v>0</v>
      </c>
      <c r="W225" s="1166">
        <v>0</v>
      </c>
      <c r="X225" s="1166">
        <v>0</v>
      </c>
      <c r="Y225" s="1166">
        <v>0</v>
      </c>
      <c r="Z225" s="1166">
        <v>0</v>
      </c>
      <c r="AA225" s="1166">
        <v>0</v>
      </c>
      <c r="AB225" s="1166">
        <v>538850</v>
      </c>
      <c r="AC225" s="1166">
        <v>0</v>
      </c>
      <c r="AD225" s="1166">
        <v>8961</v>
      </c>
      <c r="AE225" s="1166">
        <v>17743</v>
      </c>
      <c r="AF225" s="1166">
        <v>0</v>
      </c>
      <c r="AG225" s="1166">
        <v>0</v>
      </c>
      <c r="AH225" s="1166">
        <v>0</v>
      </c>
      <c r="AI225" s="1166">
        <v>0</v>
      </c>
      <c r="AJ225" s="1166">
        <v>1550</v>
      </c>
      <c r="AK225" s="1166">
        <v>0</v>
      </c>
      <c r="AL225" s="1166">
        <v>0</v>
      </c>
      <c r="AM225" s="1166">
        <v>0</v>
      </c>
      <c r="AN225" s="1166">
        <v>401121</v>
      </c>
      <c r="AO225" s="1166">
        <v>0</v>
      </c>
      <c r="AP225" s="1166">
        <v>0</v>
      </c>
      <c r="AQ225" s="1166">
        <v>0</v>
      </c>
      <c r="AR225" s="1166">
        <v>0</v>
      </c>
      <c r="AS225" s="1166">
        <v>0</v>
      </c>
      <c r="AT225" s="1166">
        <v>0</v>
      </c>
      <c r="AU225" s="1166">
        <v>0</v>
      </c>
      <c r="AV225" s="1166">
        <v>0</v>
      </c>
      <c r="AW225" s="1166">
        <v>0</v>
      </c>
      <c r="AX225" s="1166">
        <v>0</v>
      </c>
      <c r="AY225" s="1166">
        <v>0</v>
      </c>
      <c r="AZ225" s="1166">
        <v>8</v>
      </c>
      <c r="BA225" s="1166">
        <v>50000</v>
      </c>
      <c r="BB225" s="1166">
        <v>16123</v>
      </c>
      <c r="BC225" s="1166">
        <v>0</v>
      </c>
      <c r="BD225" s="1166">
        <v>0</v>
      </c>
      <c r="BE225" s="1166">
        <v>0</v>
      </c>
      <c r="BF225" s="1166">
        <v>0</v>
      </c>
      <c r="BG225" s="1166">
        <v>0</v>
      </c>
      <c r="BH225" s="1166">
        <v>0</v>
      </c>
      <c r="BI225" s="1166">
        <v>0</v>
      </c>
      <c r="BJ225" s="1166">
        <v>0</v>
      </c>
      <c r="BK225" s="1166">
        <v>0</v>
      </c>
      <c r="BL225" s="1166">
        <v>0</v>
      </c>
      <c r="BM225" s="1166">
        <v>0</v>
      </c>
      <c r="BN225" s="1166">
        <v>0</v>
      </c>
      <c r="BO225" s="1166">
        <v>96223</v>
      </c>
      <c r="BP225" s="1166">
        <v>0</v>
      </c>
      <c r="BQ225" s="1166">
        <v>0</v>
      </c>
      <c r="BR225" s="1166">
        <v>0</v>
      </c>
      <c r="BS225" s="1166">
        <v>0</v>
      </c>
      <c r="BT225" s="1166">
        <v>0</v>
      </c>
      <c r="BU225" s="1166">
        <v>0</v>
      </c>
      <c r="BV225" s="1166">
        <v>0</v>
      </c>
      <c r="BW225" s="1166">
        <v>9257</v>
      </c>
      <c r="BX225" s="1166">
        <v>21797</v>
      </c>
      <c r="BY225" s="1166">
        <v>0</v>
      </c>
      <c r="BZ225" s="1166">
        <v>0</v>
      </c>
      <c r="CA225" s="1166">
        <v>0</v>
      </c>
      <c r="CB225" s="1166">
        <v>0</v>
      </c>
    </row>
    <row r="226" spans="1:80" s="1156" customFormat="1" x14ac:dyDescent="0.3">
      <c r="A226" s="1161">
        <v>576</v>
      </c>
      <c r="B226" s="1184">
        <v>576</v>
      </c>
      <c r="C226" s="1184" t="s">
        <v>548</v>
      </c>
      <c r="D226" s="1184" t="s">
        <v>644</v>
      </c>
      <c r="E226" s="1164">
        <v>0</v>
      </c>
      <c r="F226" s="1165">
        <v>0</v>
      </c>
      <c r="G226" s="1165">
        <v>0</v>
      </c>
      <c r="H226" s="1165">
        <v>74939</v>
      </c>
      <c r="I226" s="1165">
        <v>0</v>
      </c>
      <c r="J226" s="1165">
        <v>0</v>
      </c>
      <c r="K226" s="1165">
        <v>4686</v>
      </c>
      <c r="L226" s="1166">
        <v>0</v>
      </c>
      <c r="M226" s="1166">
        <v>0</v>
      </c>
      <c r="N226" s="1166">
        <v>0</v>
      </c>
      <c r="O226" s="1166">
        <v>0</v>
      </c>
      <c r="P226" s="1166">
        <v>0</v>
      </c>
      <c r="Q226" s="1166">
        <v>0</v>
      </c>
      <c r="R226" s="1166">
        <v>0</v>
      </c>
      <c r="S226" s="1166">
        <v>0</v>
      </c>
      <c r="T226" s="1166">
        <v>0</v>
      </c>
      <c r="U226" s="1166">
        <v>0</v>
      </c>
      <c r="V226" s="1166">
        <v>0</v>
      </c>
      <c r="W226" s="1166">
        <v>0</v>
      </c>
      <c r="X226" s="1166">
        <v>0</v>
      </c>
      <c r="Y226" s="1166">
        <v>0</v>
      </c>
      <c r="Z226" s="1166">
        <v>0</v>
      </c>
      <c r="AA226" s="1166">
        <v>71543</v>
      </c>
      <c r="AB226" s="1166">
        <v>0</v>
      </c>
      <c r="AC226" s="1166">
        <v>0</v>
      </c>
      <c r="AD226" s="1166">
        <v>0</v>
      </c>
      <c r="AE226" s="1166">
        <v>0</v>
      </c>
      <c r="AF226" s="1166">
        <v>0</v>
      </c>
      <c r="AG226" s="1166">
        <v>0</v>
      </c>
      <c r="AH226" s="1166">
        <v>0</v>
      </c>
      <c r="AI226" s="1166">
        <v>0</v>
      </c>
      <c r="AJ226" s="1166">
        <v>0</v>
      </c>
      <c r="AK226" s="1166">
        <v>0</v>
      </c>
      <c r="AL226" s="1166">
        <v>26865</v>
      </c>
      <c r="AM226" s="1166">
        <v>0</v>
      </c>
      <c r="AN226" s="1166">
        <v>0</v>
      </c>
      <c r="AO226" s="1166">
        <v>0</v>
      </c>
      <c r="AP226" s="1166">
        <v>0</v>
      </c>
      <c r="AQ226" s="1166">
        <v>0</v>
      </c>
      <c r="AR226" s="1166">
        <v>4360209</v>
      </c>
      <c r="AS226" s="1166">
        <v>0</v>
      </c>
      <c r="AT226" s="1166">
        <v>0</v>
      </c>
      <c r="AU226" s="1166">
        <v>0</v>
      </c>
      <c r="AV226" s="1166">
        <v>954156</v>
      </c>
      <c r="AW226" s="1166">
        <v>44217</v>
      </c>
      <c r="AX226" s="1166">
        <v>0</v>
      </c>
      <c r="AY226" s="1166">
        <v>0</v>
      </c>
      <c r="AZ226" s="1166">
        <v>0</v>
      </c>
      <c r="BA226" s="1166">
        <v>0</v>
      </c>
      <c r="BB226" s="1166">
        <v>0</v>
      </c>
      <c r="BC226" s="1166">
        <v>0</v>
      </c>
      <c r="BD226" s="1166">
        <v>0</v>
      </c>
      <c r="BE226" s="1166">
        <v>0</v>
      </c>
      <c r="BF226" s="1166">
        <v>1627000</v>
      </c>
      <c r="BG226" s="1166">
        <v>0</v>
      </c>
      <c r="BH226" s="1166">
        <v>0</v>
      </c>
      <c r="BI226" s="1166">
        <v>0</v>
      </c>
      <c r="BJ226" s="1166">
        <v>0</v>
      </c>
      <c r="BK226" s="1166">
        <v>0</v>
      </c>
      <c r="BL226" s="1166">
        <v>0</v>
      </c>
      <c r="BM226" s="1166">
        <v>0</v>
      </c>
      <c r="BN226" s="1166">
        <v>0</v>
      </c>
      <c r="BO226" s="1166">
        <v>0</v>
      </c>
      <c r="BP226" s="1166">
        <v>348103</v>
      </c>
      <c r="BQ226" s="1166">
        <v>0</v>
      </c>
      <c r="BR226" s="1166">
        <v>0</v>
      </c>
      <c r="BS226" s="1166">
        <v>0</v>
      </c>
      <c r="BT226" s="1166">
        <v>0</v>
      </c>
      <c r="BU226" s="1166">
        <v>40000</v>
      </c>
      <c r="BV226" s="1166">
        <v>16959</v>
      </c>
      <c r="BW226" s="1166">
        <v>0</v>
      </c>
      <c r="BX226" s="1166">
        <v>0</v>
      </c>
      <c r="BY226" s="1166">
        <v>0</v>
      </c>
      <c r="BZ226" s="1166">
        <v>0</v>
      </c>
      <c r="CA226" s="1166">
        <v>0</v>
      </c>
      <c r="CB226" s="1166">
        <v>0</v>
      </c>
    </row>
    <row r="227" spans="1:80" s="1156" customFormat="1" x14ac:dyDescent="0.3">
      <c r="A227" s="1161">
        <v>577</v>
      </c>
      <c r="B227" s="1184">
        <v>577</v>
      </c>
      <c r="C227" s="1184" t="s">
        <v>645</v>
      </c>
      <c r="D227" s="1184" t="s">
        <v>646</v>
      </c>
      <c r="E227" s="1164">
        <v>2</v>
      </c>
      <c r="F227" s="1165">
        <v>2</v>
      </c>
      <c r="G227" s="1165">
        <v>0</v>
      </c>
      <c r="H227" s="1165">
        <v>0</v>
      </c>
      <c r="I227" s="1165">
        <v>2</v>
      </c>
      <c r="J227" s="1165">
        <v>2</v>
      </c>
      <c r="K227" s="1165">
        <v>2</v>
      </c>
      <c r="L227" s="1166">
        <v>2</v>
      </c>
      <c r="M227" s="1166">
        <v>2</v>
      </c>
      <c r="N227" s="1166">
        <v>0</v>
      </c>
      <c r="O227" s="1166">
        <v>2</v>
      </c>
      <c r="P227" s="1166">
        <v>2</v>
      </c>
      <c r="Q227" s="1166">
        <v>2</v>
      </c>
      <c r="R227" s="1166">
        <v>2</v>
      </c>
      <c r="S227" s="1166">
        <v>2</v>
      </c>
      <c r="T227" s="1166">
        <v>2</v>
      </c>
      <c r="U227" s="1166">
        <v>0</v>
      </c>
      <c r="V227" s="1166">
        <v>2</v>
      </c>
      <c r="W227" s="1166">
        <v>2</v>
      </c>
      <c r="X227" s="1166">
        <v>0</v>
      </c>
      <c r="Y227" s="1166">
        <v>2</v>
      </c>
      <c r="Z227" s="1166">
        <v>1</v>
      </c>
      <c r="AA227" s="1166">
        <v>2</v>
      </c>
      <c r="AB227" s="1166">
        <v>2</v>
      </c>
      <c r="AC227" s="1166">
        <v>0</v>
      </c>
      <c r="AD227" s="1166">
        <v>0</v>
      </c>
      <c r="AE227" s="1166">
        <v>2</v>
      </c>
      <c r="AF227" s="1166">
        <v>2</v>
      </c>
      <c r="AG227" s="1166">
        <v>2</v>
      </c>
      <c r="AH227" s="1166">
        <v>0</v>
      </c>
      <c r="AI227" s="1166">
        <v>2</v>
      </c>
      <c r="AJ227" s="1166">
        <v>2</v>
      </c>
      <c r="AK227" s="1166">
        <v>2</v>
      </c>
      <c r="AL227" s="1166">
        <v>2</v>
      </c>
      <c r="AM227" s="1166">
        <v>2</v>
      </c>
      <c r="AN227" s="1166">
        <v>2</v>
      </c>
      <c r="AO227" s="1166">
        <v>0</v>
      </c>
      <c r="AP227" s="1166">
        <v>0</v>
      </c>
      <c r="AQ227" s="1166">
        <v>2</v>
      </c>
      <c r="AR227" s="1166">
        <v>2</v>
      </c>
      <c r="AS227" s="1166">
        <v>2</v>
      </c>
      <c r="AT227" s="1166">
        <v>2</v>
      </c>
      <c r="AU227" s="1166">
        <v>2</v>
      </c>
      <c r="AV227" s="1166">
        <v>2</v>
      </c>
      <c r="AW227" s="1166">
        <v>2</v>
      </c>
      <c r="AX227" s="1166">
        <v>2</v>
      </c>
      <c r="AY227" s="1166">
        <v>2</v>
      </c>
      <c r="AZ227" s="1166">
        <v>2</v>
      </c>
      <c r="BA227" s="1166">
        <v>0</v>
      </c>
      <c r="BB227" s="1166">
        <v>2</v>
      </c>
      <c r="BC227" s="1166">
        <v>2</v>
      </c>
      <c r="BD227" s="1166">
        <v>0</v>
      </c>
      <c r="BE227" s="1166">
        <v>0</v>
      </c>
      <c r="BF227" s="1166">
        <v>2</v>
      </c>
      <c r="BG227" s="1166">
        <v>0</v>
      </c>
      <c r="BH227" s="1166">
        <v>0</v>
      </c>
      <c r="BI227" s="1166">
        <v>2</v>
      </c>
      <c r="BJ227" s="1166">
        <v>2</v>
      </c>
      <c r="BK227" s="1166">
        <v>2</v>
      </c>
      <c r="BL227" s="1166">
        <v>2</v>
      </c>
      <c r="BM227" s="1166">
        <v>2</v>
      </c>
      <c r="BN227" s="1166">
        <v>0</v>
      </c>
      <c r="BO227" s="1166">
        <v>2</v>
      </c>
      <c r="BP227" s="1166">
        <v>2</v>
      </c>
      <c r="BQ227" s="1166">
        <v>2</v>
      </c>
      <c r="BR227" s="1166">
        <v>2</v>
      </c>
      <c r="BS227" s="1166">
        <v>2</v>
      </c>
      <c r="BT227" s="1166">
        <v>2</v>
      </c>
      <c r="BU227" s="1166">
        <v>2</v>
      </c>
      <c r="BV227" s="1166">
        <v>2</v>
      </c>
      <c r="BW227" s="1166">
        <v>2</v>
      </c>
      <c r="BX227" s="1166">
        <v>2</v>
      </c>
      <c r="BY227" s="1166">
        <v>0</v>
      </c>
      <c r="BZ227" s="1166">
        <v>2</v>
      </c>
      <c r="CA227" s="1166">
        <v>2</v>
      </c>
      <c r="CB227" s="1166">
        <v>0</v>
      </c>
    </row>
    <row r="228" spans="1:80" s="1156" customFormat="1" x14ac:dyDescent="0.3">
      <c r="A228" s="1161">
        <v>578</v>
      </c>
      <c r="B228" s="1184">
        <v>578</v>
      </c>
      <c r="C228" s="1184" t="s">
        <v>647</v>
      </c>
      <c r="D228" s="1184" t="s">
        <v>648</v>
      </c>
      <c r="E228" s="1164">
        <v>0</v>
      </c>
      <c r="F228" s="1165">
        <v>0</v>
      </c>
      <c r="G228" s="1165">
        <v>0</v>
      </c>
      <c r="H228" s="1165">
        <v>0</v>
      </c>
      <c r="I228" s="1165">
        <v>0</v>
      </c>
      <c r="J228" s="1165">
        <v>0</v>
      </c>
      <c r="K228" s="1165">
        <v>0</v>
      </c>
      <c r="L228" s="1166">
        <v>324782</v>
      </c>
      <c r="M228" s="1166">
        <v>0</v>
      </c>
      <c r="N228" s="1166">
        <v>0</v>
      </c>
      <c r="O228" s="1166">
        <v>0</v>
      </c>
      <c r="P228" s="1166">
        <v>0</v>
      </c>
      <c r="Q228" s="1166">
        <v>0</v>
      </c>
      <c r="R228" s="1166">
        <v>0</v>
      </c>
      <c r="S228" s="1166">
        <v>0</v>
      </c>
      <c r="T228" s="1166">
        <v>0</v>
      </c>
      <c r="U228" s="1166">
        <v>0</v>
      </c>
      <c r="V228" s="1166">
        <v>0</v>
      </c>
      <c r="W228" s="1166">
        <v>0</v>
      </c>
      <c r="X228" s="1166">
        <v>0</v>
      </c>
      <c r="Y228" s="1166">
        <v>0</v>
      </c>
      <c r="Z228" s="1166">
        <v>0</v>
      </c>
      <c r="AA228" s="1166">
        <v>0</v>
      </c>
      <c r="AB228" s="1166">
        <v>0</v>
      </c>
      <c r="AC228" s="1166">
        <v>0</v>
      </c>
      <c r="AD228" s="1166">
        <v>0</v>
      </c>
      <c r="AE228" s="1166">
        <v>0</v>
      </c>
      <c r="AF228" s="1166">
        <v>0</v>
      </c>
      <c r="AG228" s="1166">
        <v>0</v>
      </c>
      <c r="AH228" s="1166">
        <v>0</v>
      </c>
      <c r="AI228" s="1166">
        <v>0</v>
      </c>
      <c r="AJ228" s="1166">
        <v>0</v>
      </c>
      <c r="AK228" s="1166">
        <v>0</v>
      </c>
      <c r="AL228" s="1166">
        <v>0</v>
      </c>
      <c r="AM228" s="1166">
        <v>0</v>
      </c>
      <c r="AN228" s="1166">
        <v>0</v>
      </c>
      <c r="AO228" s="1166">
        <v>0</v>
      </c>
      <c r="AP228" s="1166">
        <v>0</v>
      </c>
      <c r="AQ228" s="1166">
        <v>0</v>
      </c>
      <c r="AR228" s="1166">
        <v>0</v>
      </c>
      <c r="AS228" s="1166">
        <v>0</v>
      </c>
      <c r="AT228" s="1166">
        <v>0</v>
      </c>
      <c r="AU228" s="1166">
        <v>0</v>
      </c>
      <c r="AV228" s="1166">
        <v>0</v>
      </c>
      <c r="AW228" s="1166">
        <v>0</v>
      </c>
      <c r="AX228" s="1166">
        <v>0</v>
      </c>
      <c r="AY228" s="1166">
        <v>0</v>
      </c>
      <c r="AZ228" s="1166">
        <v>0</v>
      </c>
      <c r="BA228" s="1166">
        <v>0</v>
      </c>
      <c r="BB228" s="1166">
        <v>0</v>
      </c>
      <c r="BC228" s="1166">
        <v>0</v>
      </c>
      <c r="BD228" s="1166">
        <v>0</v>
      </c>
      <c r="BE228" s="1166">
        <v>0</v>
      </c>
      <c r="BF228" s="1166">
        <v>0</v>
      </c>
      <c r="BG228" s="1166">
        <v>0</v>
      </c>
      <c r="BH228" s="1166">
        <v>0</v>
      </c>
      <c r="BI228" s="1166">
        <v>0</v>
      </c>
      <c r="BJ228" s="1166">
        <v>0</v>
      </c>
      <c r="BK228" s="1166">
        <v>0</v>
      </c>
      <c r="BL228" s="1166">
        <v>0</v>
      </c>
      <c r="BM228" s="1166">
        <v>0</v>
      </c>
      <c r="BN228" s="1166">
        <v>0</v>
      </c>
      <c r="BO228" s="1166">
        <v>0</v>
      </c>
      <c r="BP228" s="1166">
        <v>0</v>
      </c>
      <c r="BQ228" s="1166">
        <v>0</v>
      </c>
      <c r="BR228" s="1166">
        <v>0</v>
      </c>
      <c r="BS228" s="1166">
        <v>0</v>
      </c>
      <c r="BT228" s="1166">
        <v>0</v>
      </c>
      <c r="BU228" s="1166">
        <v>0</v>
      </c>
      <c r="BV228" s="1166">
        <v>0</v>
      </c>
      <c r="BW228" s="1166">
        <v>0</v>
      </c>
      <c r="BX228" s="1166">
        <v>0</v>
      </c>
      <c r="BY228" s="1166">
        <v>0</v>
      </c>
      <c r="BZ228" s="1166">
        <v>0</v>
      </c>
      <c r="CA228" s="1166">
        <v>0</v>
      </c>
      <c r="CB228" s="1166">
        <v>0</v>
      </c>
    </row>
    <row r="229" spans="1:80" s="1156" customFormat="1" x14ac:dyDescent="0.3">
      <c r="A229" s="1161">
        <v>579</v>
      </c>
      <c r="B229" s="1184">
        <v>579</v>
      </c>
      <c r="C229" s="1184" t="s">
        <v>649</v>
      </c>
      <c r="D229" s="1184" t="s">
        <v>650</v>
      </c>
      <c r="E229" s="1164">
        <v>0</v>
      </c>
      <c r="F229" s="1165">
        <v>0</v>
      </c>
      <c r="G229" s="1165">
        <v>0</v>
      </c>
      <c r="H229" s="1165">
        <v>0</v>
      </c>
      <c r="I229" s="1165">
        <v>0</v>
      </c>
      <c r="J229" s="1165">
        <v>0</v>
      </c>
      <c r="K229" s="1165">
        <v>0</v>
      </c>
      <c r="L229" s="1166">
        <v>0</v>
      </c>
      <c r="M229" s="1166">
        <v>0</v>
      </c>
      <c r="N229" s="1166">
        <v>0</v>
      </c>
      <c r="O229" s="1166">
        <v>0</v>
      </c>
      <c r="P229" s="1166">
        <v>0</v>
      </c>
      <c r="Q229" s="1166">
        <v>0</v>
      </c>
      <c r="R229" s="1166">
        <v>0</v>
      </c>
      <c r="S229" s="1166">
        <v>0</v>
      </c>
      <c r="T229" s="1166">
        <v>0</v>
      </c>
      <c r="U229" s="1166">
        <v>0</v>
      </c>
      <c r="V229" s="1166">
        <v>0</v>
      </c>
      <c r="W229" s="1166">
        <v>0</v>
      </c>
      <c r="X229" s="1166">
        <v>0</v>
      </c>
      <c r="Y229" s="1166">
        <v>0</v>
      </c>
      <c r="Z229" s="1166">
        <v>0</v>
      </c>
      <c r="AA229" s="1166">
        <v>0</v>
      </c>
      <c r="AB229" s="1166">
        <v>0</v>
      </c>
      <c r="AC229" s="1166">
        <v>0</v>
      </c>
      <c r="AD229" s="1166">
        <v>0</v>
      </c>
      <c r="AE229" s="1166">
        <v>0</v>
      </c>
      <c r="AF229" s="1166">
        <v>478848</v>
      </c>
      <c r="AG229" s="1166">
        <v>0</v>
      </c>
      <c r="AH229" s="1166">
        <v>0</v>
      </c>
      <c r="AI229" s="1166">
        <v>0</v>
      </c>
      <c r="AJ229" s="1166">
        <v>0</v>
      </c>
      <c r="AK229" s="1166">
        <v>0</v>
      </c>
      <c r="AL229" s="1166">
        <v>0</v>
      </c>
      <c r="AM229" s="1166">
        <v>0</v>
      </c>
      <c r="AN229" s="1166">
        <v>0</v>
      </c>
      <c r="AO229" s="1166">
        <v>0</v>
      </c>
      <c r="AP229" s="1166">
        <v>0</v>
      </c>
      <c r="AQ229" s="1166">
        <v>0</v>
      </c>
      <c r="AR229" s="1166">
        <v>0</v>
      </c>
      <c r="AS229" s="1166">
        <v>0</v>
      </c>
      <c r="AT229" s="1166">
        <v>0</v>
      </c>
      <c r="AU229" s="1166">
        <v>0</v>
      </c>
      <c r="AV229" s="1166">
        <v>0</v>
      </c>
      <c r="AW229" s="1166">
        <v>0</v>
      </c>
      <c r="AX229" s="1166">
        <v>0</v>
      </c>
      <c r="AY229" s="1166">
        <v>0</v>
      </c>
      <c r="AZ229" s="1166">
        <v>0</v>
      </c>
      <c r="BA229" s="1166">
        <v>0</v>
      </c>
      <c r="BB229" s="1166">
        <v>0</v>
      </c>
      <c r="BC229" s="1166">
        <v>0</v>
      </c>
      <c r="BD229" s="1166">
        <v>0</v>
      </c>
      <c r="BE229" s="1166">
        <v>0</v>
      </c>
      <c r="BF229" s="1166">
        <v>0</v>
      </c>
      <c r="BG229" s="1166">
        <v>0</v>
      </c>
      <c r="BH229" s="1166">
        <v>0</v>
      </c>
      <c r="BI229" s="1166">
        <v>0</v>
      </c>
      <c r="BJ229" s="1166">
        <v>0</v>
      </c>
      <c r="BK229" s="1166">
        <v>0</v>
      </c>
      <c r="BL229" s="1166">
        <v>0</v>
      </c>
      <c r="BM229" s="1166">
        <v>0</v>
      </c>
      <c r="BN229" s="1166">
        <v>0</v>
      </c>
      <c r="BO229" s="1166">
        <v>0</v>
      </c>
      <c r="BP229" s="1166">
        <v>0</v>
      </c>
      <c r="BQ229" s="1166">
        <v>0</v>
      </c>
      <c r="BR229" s="1166">
        <v>0</v>
      </c>
      <c r="BS229" s="1166">
        <v>0</v>
      </c>
      <c r="BT229" s="1166">
        <v>0</v>
      </c>
      <c r="BU229" s="1166">
        <v>0</v>
      </c>
      <c r="BV229" s="1166">
        <v>0</v>
      </c>
      <c r="BW229" s="1166">
        <v>0</v>
      </c>
      <c r="BX229" s="1166">
        <v>0</v>
      </c>
      <c r="BY229" s="1166">
        <v>0</v>
      </c>
      <c r="BZ229" s="1166">
        <v>0</v>
      </c>
      <c r="CA229" s="1166">
        <v>0</v>
      </c>
      <c r="CB229" s="1166">
        <v>0</v>
      </c>
    </row>
    <row r="230" spans="1:80" s="1156" customFormat="1" x14ac:dyDescent="0.3">
      <c r="A230" s="1161">
        <v>580</v>
      </c>
      <c r="B230" s="1184">
        <v>580</v>
      </c>
      <c r="C230" s="1184" t="s">
        <v>651</v>
      </c>
      <c r="D230" s="1184" t="s">
        <v>652</v>
      </c>
      <c r="E230" s="1164">
        <v>0</v>
      </c>
      <c r="F230" s="1165">
        <v>0</v>
      </c>
      <c r="G230" s="1165">
        <v>0</v>
      </c>
      <c r="H230" s="1165">
        <v>0</v>
      </c>
      <c r="I230" s="1165">
        <v>0</v>
      </c>
      <c r="J230" s="1165">
        <v>0</v>
      </c>
      <c r="K230" s="1165">
        <v>0</v>
      </c>
      <c r="L230" s="1166">
        <v>0</v>
      </c>
      <c r="M230" s="1166">
        <v>0</v>
      </c>
      <c r="N230" s="1166">
        <v>0</v>
      </c>
      <c r="O230" s="1166">
        <v>0</v>
      </c>
      <c r="P230" s="1166">
        <v>0</v>
      </c>
      <c r="Q230" s="1166">
        <v>0</v>
      </c>
      <c r="R230" s="1166">
        <v>0</v>
      </c>
      <c r="S230" s="1166">
        <v>0</v>
      </c>
      <c r="T230" s="1166">
        <v>0</v>
      </c>
      <c r="U230" s="1166">
        <v>0</v>
      </c>
      <c r="V230" s="1166">
        <v>0</v>
      </c>
      <c r="W230" s="1166">
        <v>0</v>
      </c>
      <c r="X230" s="1166">
        <v>0</v>
      </c>
      <c r="Y230" s="1166">
        <v>0</v>
      </c>
      <c r="Z230" s="1166">
        <v>0</v>
      </c>
      <c r="AA230" s="1166">
        <v>0</v>
      </c>
      <c r="AB230" s="1166">
        <v>0</v>
      </c>
      <c r="AC230" s="1166">
        <v>0</v>
      </c>
      <c r="AD230" s="1166">
        <v>0</v>
      </c>
      <c r="AE230" s="1166">
        <v>0</v>
      </c>
      <c r="AF230" s="1166">
        <v>0</v>
      </c>
      <c r="AG230" s="1166">
        <v>0</v>
      </c>
      <c r="AH230" s="1166">
        <v>0</v>
      </c>
      <c r="AI230" s="1166">
        <v>0</v>
      </c>
      <c r="AJ230" s="1166">
        <v>0</v>
      </c>
      <c r="AK230" s="1166">
        <v>0</v>
      </c>
      <c r="AL230" s="1166">
        <v>0</v>
      </c>
      <c r="AM230" s="1166">
        <v>0</v>
      </c>
      <c r="AN230" s="1166">
        <v>0</v>
      </c>
      <c r="AO230" s="1166">
        <v>0</v>
      </c>
      <c r="AP230" s="1166">
        <v>0</v>
      </c>
      <c r="AQ230" s="1166">
        <v>0</v>
      </c>
      <c r="AR230" s="1166">
        <v>0</v>
      </c>
      <c r="AS230" s="1166">
        <v>0</v>
      </c>
      <c r="AT230" s="1166">
        <v>0</v>
      </c>
      <c r="AU230" s="1166">
        <v>0</v>
      </c>
      <c r="AV230" s="1166">
        <v>0</v>
      </c>
      <c r="AW230" s="1166">
        <v>0</v>
      </c>
      <c r="AX230" s="1166">
        <v>0</v>
      </c>
      <c r="AY230" s="1166">
        <v>0</v>
      </c>
      <c r="AZ230" s="1166">
        <v>0</v>
      </c>
      <c r="BA230" s="1166">
        <v>0</v>
      </c>
      <c r="BB230" s="1166">
        <v>0</v>
      </c>
      <c r="BC230" s="1166">
        <v>0</v>
      </c>
      <c r="BD230" s="1166">
        <v>0</v>
      </c>
      <c r="BE230" s="1166">
        <v>0</v>
      </c>
      <c r="BF230" s="1166">
        <v>0</v>
      </c>
      <c r="BG230" s="1166">
        <v>0</v>
      </c>
      <c r="BH230" s="1166">
        <v>0</v>
      </c>
      <c r="BI230" s="1166">
        <v>0</v>
      </c>
      <c r="BJ230" s="1166">
        <v>0</v>
      </c>
      <c r="BK230" s="1166">
        <v>0</v>
      </c>
      <c r="BL230" s="1166">
        <v>0</v>
      </c>
      <c r="BM230" s="1166">
        <v>0</v>
      </c>
      <c r="BN230" s="1166">
        <v>0</v>
      </c>
      <c r="BO230" s="1166">
        <v>0</v>
      </c>
      <c r="BP230" s="1166">
        <v>0</v>
      </c>
      <c r="BQ230" s="1166">
        <v>0</v>
      </c>
      <c r="BR230" s="1166">
        <v>0</v>
      </c>
      <c r="BS230" s="1166">
        <v>0</v>
      </c>
      <c r="BT230" s="1166">
        <v>0</v>
      </c>
      <c r="BU230" s="1166">
        <v>0</v>
      </c>
      <c r="BV230" s="1166">
        <v>0</v>
      </c>
      <c r="BW230" s="1166">
        <v>0</v>
      </c>
      <c r="BX230" s="1166">
        <v>0</v>
      </c>
      <c r="BY230" s="1166">
        <v>0</v>
      </c>
      <c r="BZ230" s="1166">
        <v>0</v>
      </c>
      <c r="CA230" s="1166">
        <v>0</v>
      </c>
      <c r="CB230" s="1166">
        <v>0</v>
      </c>
    </row>
    <row r="231" spans="1:80" s="1156" customFormat="1" x14ac:dyDescent="0.3">
      <c r="A231" s="1161">
        <v>581</v>
      </c>
      <c r="B231" s="1184">
        <v>581</v>
      </c>
      <c r="C231" s="1184" t="s">
        <v>653</v>
      </c>
      <c r="D231" s="1184" t="s">
        <v>654</v>
      </c>
      <c r="E231" s="1164">
        <v>0</v>
      </c>
      <c r="F231" s="1165">
        <v>0</v>
      </c>
      <c r="G231" s="1165">
        <v>0</v>
      </c>
      <c r="H231" s="1165">
        <v>0</v>
      </c>
      <c r="I231" s="1165">
        <v>0</v>
      </c>
      <c r="J231" s="1165">
        <v>0</v>
      </c>
      <c r="K231" s="1165">
        <v>0</v>
      </c>
      <c r="L231" s="1166">
        <v>0</v>
      </c>
      <c r="M231" s="1166">
        <v>0</v>
      </c>
      <c r="N231" s="1166">
        <v>0</v>
      </c>
      <c r="O231" s="1166">
        <v>0</v>
      </c>
      <c r="P231" s="1166">
        <v>0</v>
      </c>
      <c r="Q231" s="1166">
        <v>0</v>
      </c>
      <c r="R231" s="1166">
        <v>0</v>
      </c>
      <c r="S231" s="1166">
        <v>0</v>
      </c>
      <c r="T231" s="1166">
        <v>0</v>
      </c>
      <c r="U231" s="1166">
        <v>0</v>
      </c>
      <c r="V231" s="1166">
        <v>0</v>
      </c>
      <c r="W231" s="1166">
        <v>0</v>
      </c>
      <c r="X231" s="1166">
        <v>0</v>
      </c>
      <c r="Y231" s="1166">
        <v>0</v>
      </c>
      <c r="Z231" s="1166">
        <v>0</v>
      </c>
      <c r="AA231" s="1166">
        <v>0</v>
      </c>
      <c r="AB231" s="1166">
        <v>0</v>
      </c>
      <c r="AC231" s="1166">
        <v>0</v>
      </c>
      <c r="AD231" s="1166">
        <v>0</v>
      </c>
      <c r="AE231" s="1166">
        <v>0</v>
      </c>
      <c r="AF231" s="1166">
        <v>0</v>
      </c>
      <c r="AG231" s="1166">
        <v>0</v>
      </c>
      <c r="AH231" s="1166">
        <v>0</v>
      </c>
      <c r="AI231" s="1166">
        <v>0</v>
      </c>
      <c r="AJ231" s="1166">
        <v>0</v>
      </c>
      <c r="AK231" s="1166">
        <v>0</v>
      </c>
      <c r="AL231" s="1166">
        <v>0</v>
      </c>
      <c r="AM231" s="1166">
        <v>0</v>
      </c>
      <c r="AN231" s="1166">
        <v>0</v>
      </c>
      <c r="AO231" s="1166">
        <v>0</v>
      </c>
      <c r="AP231" s="1166">
        <v>0</v>
      </c>
      <c r="AQ231" s="1166">
        <v>0</v>
      </c>
      <c r="AR231" s="1166">
        <v>0</v>
      </c>
      <c r="AS231" s="1166">
        <v>0</v>
      </c>
      <c r="AT231" s="1166">
        <v>0</v>
      </c>
      <c r="AU231" s="1166">
        <v>0</v>
      </c>
      <c r="AV231" s="1166">
        <v>893312</v>
      </c>
      <c r="AW231" s="1166">
        <v>0</v>
      </c>
      <c r="AX231" s="1166">
        <v>0</v>
      </c>
      <c r="AY231" s="1166">
        <v>0</v>
      </c>
      <c r="AZ231" s="1166">
        <v>0</v>
      </c>
      <c r="BA231" s="1166">
        <v>0</v>
      </c>
      <c r="BB231" s="1166">
        <v>0</v>
      </c>
      <c r="BC231" s="1166">
        <v>0</v>
      </c>
      <c r="BD231" s="1166">
        <v>0</v>
      </c>
      <c r="BE231" s="1166">
        <v>0</v>
      </c>
      <c r="BF231" s="1166">
        <v>0</v>
      </c>
      <c r="BG231" s="1166">
        <v>0</v>
      </c>
      <c r="BH231" s="1166">
        <v>0</v>
      </c>
      <c r="BI231" s="1166">
        <v>0</v>
      </c>
      <c r="BJ231" s="1166">
        <v>0</v>
      </c>
      <c r="BK231" s="1166">
        <v>0</v>
      </c>
      <c r="BL231" s="1166">
        <v>0</v>
      </c>
      <c r="BM231" s="1166">
        <v>0</v>
      </c>
      <c r="BN231" s="1166">
        <v>0</v>
      </c>
      <c r="BO231" s="1166">
        <v>0</v>
      </c>
      <c r="BP231" s="1166">
        <v>0</v>
      </c>
      <c r="BQ231" s="1166">
        <v>0</v>
      </c>
      <c r="BR231" s="1166">
        <v>0</v>
      </c>
      <c r="BS231" s="1166">
        <v>0</v>
      </c>
      <c r="BT231" s="1166">
        <v>0</v>
      </c>
      <c r="BU231" s="1166">
        <v>0</v>
      </c>
      <c r="BV231" s="1166">
        <v>0</v>
      </c>
      <c r="BW231" s="1166">
        <v>0</v>
      </c>
      <c r="BX231" s="1166">
        <v>0</v>
      </c>
      <c r="BY231" s="1166">
        <v>0</v>
      </c>
      <c r="BZ231" s="1166">
        <v>0</v>
      </c>
      <c r="CA231" s="1166">
        <v>0</v>
      </c>
      <c r="CB231" s="1166">
        <v>0</v>
      </c>
    </row>
    <row r="232" spans="1:80" s="1156" customFormat="1" x14ac:dyDescent="0.3">
      <c r="A232" s="1154"/>
      <c r="B232" s="1184">
        <v>582</v>
      </c>
      <c r="C232" s="1184" t="s">
        <v>655</v>
      </c>
      <c r="D232" s="1184" t="s">
        <v>656</v>
      </c>
      <c r="E232" s="1164"/>
      <c r="F232" s="1165"/>
      <c r="G232" s="1165"/>
      <c r="H232" s="1165"/>
      <c r="I232" s="1165"/>
      <c r="J232" s="1165"/>
      <c r="K232" s="1165"/>
      <c r="L232" s="1166"/>
      <c r="M232" s="1166"/>
      <c r="N232" s="1166"/>
      <c r="O232" s="1166"/>
      <c r="P232" s="1166"/>
      <c r="Q232" s="1166"/>
      <c r="R232" s="1166"/>
      <c r="S232" s="1166"/>
      <c r="T232" s="1166"/>
      <c r="U232" s="1166"/>
      <c r="V232" s="1166"/>
      <c r="W232" s="1166"/>
      <c r="X232" s="1166"/>
      <c r="Y232" s="1166"/>
      <c r="Z232" s="1166"/>
      <c r="AA232" s="1166"/>
      <c r="AB232" s="1166"/>
      <c r="AC232" s="1166"/>
      <c r="AD232" s="1166"/>
      <c r="AE232" s="1166"/>
      <c r="AF232" s="1166"/>
      <c r="AG232" s="1166"/>
      <c r="AH232" s="1166"/>
      <c r="AI232" s="1166"/>
      <c r="AJ232" s="1166"/>
      <c r="AK232" s="1166"/>
      <c r="AL232" s="1166"/>
      <c r="AM232" s="1166"/>
      <c r="AN232" s="1166"/>
      <c r="AO232" s="1166"/>
      <c r="AP232" s="1166"/>
      <c r="AQ232" s="1166"/>
      <c r="AR232" s="1166"/>
      <c r="AS232" s="1166"/>
      <c r="AT232" s="1166"/>
      <c r="AU232" s="1166"/>
      <c r="AV232" s="1166"/>
      <c r="AW232" s="1166"/>
      <c r="AX232" s="1166"/>
      <c r="AY232" s="1166"/>
      <c r="AZ232" s="1166"/>
      <c r="BA232" s="1166"/>
      <c r="BB232" s="1166"/>
      <c r="BC232" s="1166"/>
      <c r="BD232" s="1166"/>
      <c r="BE232" s="1166"/>
      <c r="BF232" s="1166"/>
      <c r="BG232" s="1166"/>
      <c r="BH232" s="1166"/>
      <c r="BI232" s="1166"/>
      <c r="BJ232" s="1166"/>
      <c r="BK232" s="1166"/>
      <c r="BL232" s="1166"/>
      <c r="BM232" s="1166"/>
      <c r="BN232" s="1166"/>
      <c r="BO232" s="1166"/>
      <c r="BP232" s="1166"/>
      <c r="BQ232" s="1166"/>
      <c r="BR232" s="1166"/>
      <c r="BS232" s="1166"/>
      <c r="BT232" s="1166"/>
      <c r="BU232" s="1166"/>
      <c r="BV232" s="1166"/>
      <c r="BW232" s="1166"/>
      <c r="BX232" s="1166"/>
      <c r="BY232" s="1166"/>
      <c r="BZ232" s="1166"/>
      <c r="CA232" s="1166"/>
      <c r="CB232" s="1166"/>
    </row>
    <row r="233" spans="1:80" s="1156" customFormat="1" x14ac:dyDescent="0.3">
      <c r="A233" s="1154"/>
      <c r="B233" s="1184">
        <v>583</v>
      </c>
      <c r="C233" s="1184" t="s">
        <v>657</v>
      </c>
      <c r="D233" s="1184" t="s">
        <v>658</v>
      </c>
      <c r="E233" s="1164"/>
      <c r="F233" s="1165"/>
      <c r="G233" s="1165"/>
      <c r="H233" s="1165"/>
      <c r="I233" s="1165"/>
      <c r="J233" s="1165"/>
      <c r="K233" s="1165"/>
      <c r="L233" s="1166"/>
      <c r="M233" s="1166"/>
      <c r="N233" s="1166"/>
      <c r="O233" s="1166"/>
      <c r="P233" s="1166"/>
      <c r="Q233" s="1166"/>
      <c r="R233" s="1166"/>
      <c r="S233" s="1166"/>
      <c r="T233" s="1166"/>
      <c r="U233" s="1166"/>
      <c r="V233" s="1166"/>
      <c r="W233" s="1166"/>
      <c r="X233" s="1166"/>
      <c r="Y233" s="1166"/>
      <c r="Z233" s="1166"/>
      <c r="AA233" s="1166"/>
      <c r="AB233" s="1166"/>
      <c r="AC233" s="1166"/>
      <c r="AD233" s="1166"/>
      <c r="AE233" s="1166"/>
      <c r="AF233" s="1166"/>
      <c r="AG233" s="1166"/>
      <c r="AH233" s="1166"/>
      <c r="AI233" s="1166"/>
      <c r="AJ233" s="1166"/>
      <c r="AK233" s="1166"/>
      <c r="AL233" s="1166"/>
      <c r="AM233" s="1166"/>
      <c r="AN233" s="1166"/>
      <c r="AO233" s="1166"/>
      <c r="AP233" s="1166"/>
      <c r="AQ233" s="1166"/>
      <c r="AR233" s="1166"/>
      <c r="AS233" s="1166"/>
      <c r="AT233" s="1166"/>
      <c r="AU233" s="1166"/>
      <c r="AV233" s="1166"/>
      <c r="AW233" s="1166"/>
      <c r="AX233" s="1166"/>
      <c r="AY233" s="1166"/>
      <c r="AZ233" s="1166"/>
      <c r="BA233" s="1166"/>
      <c r="BB233" s="1166"/>
      <c r="BC233" s="1166"/>
      <c r="BD233" s="1166"/>
      <c r="BE233" s="1166"/>
      <c r="BF233" s="1166"/>
      <c r="BG233" s="1166"/>
      <c r="BH233" s="1166"/>
      <c r="BI233" s="1166"/>
      <c r="BJ233" s="1166"/>
      <c r="BK233" s="1166"/>
      <c r="BL233" s="1166"/>
      <c r="BM233" s="1166"/>
      <c r="BN233" s="1166"/>
      <c r="BO233" s="1166"/>
      <c r="BP233" s="1166"/>
      <c r="BQ233" s="1166"/>
      <c r="BR233" s="1166"/>
      <c r="BS233" s="1166"/>
      <c r="BT233" s="1166"/>
      <c r="BU233" s="1166"/>
      <c r="BV233" s="1166"/>
      <c r="BW233" s="1166"/>
      <c r="BX233" s="1166"/>
      <c r="BY233" s="1166"/>
      <c r="BZ233" s="1166"/>
      <c r="CA233" s="1166"/>
      <c r="CB233" s="1166"/>
    </row>
    <row r="234" spans="1:80" s="1156" customFormat="1" x14ac:dyDescent="0.3">
      <c r="A234" s="1154"/>
      <c r="B234" s="1184">
        <v>584</v>
      </c>
      <c r="C234" s="1184" t="s">
        <v>659</v>
      </c>
      <c r="D234" s="1184" t="s">
        <v>660</v>
      </c>
      <c r="E234" s="1164"/>
      <c r="F234" s="1165"/>
      <c r="G234" s="1165"/>
      <c r="H234" s="1165"/>
      <c r="I234" s="1165"/>
      <c r="J234" s="1165"/>
      <c r="K234" s="1165"/>
      <c r="L234" s="1166"/>
      <c r="M234" s="1166"/>
      <c r="N234" s="1166"/>
      <c r="O234" s="1166"/>
      <c r="P234" s="1166"/>
      <c r="Q234" s="1166"/>
      <c r="R234" s="1166"/>
      <c r="S234" s="1166"/>
      <c r="T234" s="1166"/>
      <c r="U234" s="1166"/>
      <c r="V234" s="1166"/>
      <c r="W234" s="1166"/>
      <c r="X234" s="1166"/>
      <c r="Y234" s="1166"/>
      <c r="Z234" s="1166"/>
      <c r="AA234" s="1166"/>
      <c r="AB234" s="1166"/>
      <c r="AC234" s="1166"/>
      <c r="AD234" s="1166"/>
      <c r="AE234" s="1166"/>
      <c r="AF234" s="1166"/>
      <c r="AG234" s="1166"/>
      <c r="AH234" s="1166"/>
      <c r="AI234" s="1166"/>
      <c r="AJ234" s="1166"/>
      <c r="AK234" s="1166"/>
      <c r="AL234" s="1166"/>
      <c r="AM234" s="1166"/>
      <c r="AN234" s="1166"/>
      <c r="AO234" s="1166"/>
      <c r="AP234" s="1166"/>
      <c r="AQ234" s="1166"/>
      <c r="AR234" s="1166"/>
      <c r="AS234" s="1166"/>
      <c r="AT234" s="1166"/>
      <c r="AU234" s="1166"/>
      <c r="AV234" s="1166"/>
      <c r="AW234" s="1166"/>
      <c r="AX234" s="1166"/>
      <c r="AY234" s="1166"/>
      <c r="AZ234" s="1166"/>
      <c r="BA234" s="1166"/>
      <c r="BB234" s="1166"/>
      <c r="BC234" s="1166"/>
      <c r="BD234" s="1166"/>
      <c r="BE234" s="1166"/>
      <c r="BF234" s="1166"/>
      <c r="BG234" s="1166"/>
      <c r="BH234" s="1166"/>
      <c r="BI234" s="1166"/>
      <c r="BJ234" s="1166"/>
      <c r="BK234" s="1166"/>
      <c r="BL234" s="1166"/>
      <c r="BM234" s="1166"/>
      <c r="BN234" s="1166"/>
      <c r="BO234" s="1166"/>
      <c r="BP234" s="1166"/>
      <c r="BQ234" s="1166"/>
      <c r="BR234" s="1166"/>
      <c r="BS234" s="1166"/>
      <c r="BT234" s="1166"/>
      <c r="BU234" s="1166"/>
      <c r="BV234" s="1166"/>
      <c r="BW234" s="1166"/>
      <c r="BX234" s="1166"/>
      <c r="BY234" s="1166"/>
      <c r="BZ234" s="1166"/>
      <c r="CA234" s="1166"/>
      <c r="CB234" s="1166"/>
    </row>
    <row r="235" spans="1:80" s="1156" customFormat="1" x14ac:dyDescent="0.3">
      <c r="A235" s="1154"/>
      <c r="B235" s="1184">
        <v>585</v>
      </c>
      <c r="C235" s="1184" t="s">
        <v>661</v>
      </c>
      <c r="D235" s="1184" t="s">
        <v>662</v>
      </c>
      <c r="E235" s="1164"/>
      <c r="F235" s="1165"/>
      <c r="G235" s="1165"/>
      <c r="H235" s="1165"/>
      <c r="I235" s="1165"/>
      <c r="J235" s="1165"/>
      <c r="K235" s="1165"/>
      <c r="L235" s="1166"/>
      <c r="M235" s="1166"/>
      <c r="N235" s="1166"/>
      <c r="O235" s="1166"/>
      <c r="P235" s="1166"/>
      <c r="Q235" s="1166"/>
      <c r="R235" s="1166"/>
      <c r="S235" s="1166"/>
      <c r="T235" s="1166"/>
      <c r="U235" s="1166"/>
      <c r="V235" s="1166"/>
      <c r="W235" s="1166"/>
      <c r="X235" s="1166"/>
      <c r="Y235" s="1166"/>
      <c r="Z235" s="1166"/>
      <c r="AA235" s="1166"/>
      <c r="AB235" s="1166"/>
      <c r="AC235" s="1166"/>
      <c r="AD235" s="1166"/>
      <c r="AE235" s="1166"/>
      <c r="AF235" s="1166"/>
      <c r="AG235" s="1166"/>
      <c r="AH235" s="1166"/>
      <c r="AI235" s="1166"/>
      <c r="AJ235" s="1166"/>
      <c r="AK235" s="1166"/>
      <c r="AL235" s="1166"/>
      <c r="AM235" s="1166"/>
      <c r="AN235" s="1166"/>
      <c r="AO235" s="1166"/>
      <c r="AP235" s="1166"/>
      <c r="AQ235" s="1166"/>
      <c r="AR235" s="1166"/>
      <c r="AS235" s="1166"/>
      <c r="AT235" s="1166"/>
      <c r="AU235" s="1166"/>
      <c r="AV235" s="1166"/>
      <c r="AW235" s="1166"/>
      <c r="AX235" s="1166"/>
      <c r="AY235" s="1166"/>
      <c r="AZ235" s="1166"/>
      <c r="BA235" s="1166"/>
      <c r="BB235" s="1166"/>
      <c r="BC235" s="1166"/>
      <c r="BD235" s="1166"/>
      <c r="BE235" s="1166"/>
      <c r="BF235" s="1166"/>
      <c r="BG235" s="1166"/>
      <c r="BH235" s="1166"/>
      <c r="BI235" s="1166"/>
      <c r="BJ235" s="1166"/>
      <c r="BK235" s="1166"/>
      <c r="BL235" s="1166"/>
      <c r="BM235" s="1166"/>
      <c r="BN235" s="1166"/>
      <c r="BO235" s="1166"/>
      <c r="BP235" s="1166"/>
      <c r="BQ235" s="1166"/>
      <c r="BR235" s="1166"/>
      <c r="BS235" s="1166"/>
      <c r="BT235" s="1166"/>
      <c r="BU235" s="1166"/>
      <c r="BV235" s="1166"/>
      <c r="BW235" s="1166"/>
      <c r="BX235" s="1166"/>
      <c r="BY235" s="1166"/>
      <c r="BZ235" s="1166"/>
      <c r="CA235" s="1166"/>
      <c r="CB235" s="1166"/>
    </row>
    <row r="236" spans="1:80" s="1156" customFormat="1" x14ac:dyDescent="0.3">
      <c r="A236" s="1161">
        <v>586</v>
      </c>
      <c r="B236" s="1184">
        <v>586</v>
      </c>
      <c r="C236" s="1184" t="s">
        <v>663</v>
      </c>
      <c r="D236" s="1184" t="s">
        <v>664</v>
      </c>
      <c r="E236" s="1164">
        <v>0</v>
      </c>
      <c r="F236" s="1165">
        <v>0</v>
      </c>
      <c r="G236" s="1165">
        <v>0</v>
      </c>
      <c r="H236" s="1165">
        <v>0</v>
      </c>
      <c r="I236" s="1165">
        <v>0</v>
      </c>
      <c r="J236" s="1165">
        <v>0</v>
      </c>
      <c r="K236" s="1165">
        <v>0</v>
      </c>
      <c r="L236" s="1166">
        <v>344035</v>
      </c>
      <c r="M236" s="1166">
        <v>0</v>
      </c>
      <c r="N236" s="1166">
        <v>0</v>
      </c>
      <c r="O236" s="1166">
        <v>0</v>
      </c>
      <c r="P236" s="1166">
        <v>0</v>
      </c>
      <c r="Q236" s="1166">
        <v>0</v>
      </c>
      <c r="R236" s="1166">
        <v>0</v>
      </c>
      <c r="S236" s="1166">
        <v>0</v>
      </c>
      <c r="T236" s="1166">
        <v>0</v>
      </c>
      <c r="U236" s="1166">
        <v>0</v>
      </c>
      <c r="V236" s="1166">
        <v>0</v>
      </c>
      <c r="W236" s="1166">
        <v>0</v>
      </c>
      <c r="X236" s="1166">
        <v>0</v>
      </c>
      <c r="Y236" s="1166">
        <v>0</v>
      </c>
      <c r="Z236" s="1166">
        <v>0</v>
      </c>
      <c r="AA236" s="1166">
        <v>0</v>
      </c>
      <c r="AB236" s="1166">
        <v>0</v>
      </c>
      <c r="AC236" s="1166">
        <v>0</v>
      </c>
      <c r="AD236" s="1166">
        <v>0</v>
      </c>
      <c r="AE236" s="1166">
        <v>0</v>
      </c>
      <c r="AF236" s="1166">
        <v>0</v>
      </c>
      <c r="AG236" s="1166">
        <v>0</v>
      </c>
      <c r="AH236" s="1166">
        <v>0</v>
      </c>
      <c r="AI236" s="1166">
        <v>0</v>
      </c>
      <c r="AJ236" s="1166">
        <v>0</v>
      </c>
      <c r="AK236" s="1166">
        <v>0</v>
      </c>
      <c r="AL236" s="1166">
        <v>0</v>
      </c>
      <c r="AM236" s="1166">
        <v>0</v>
      </c>
      <c r="AN236" s="1166">
        <v>0</v>
      </c>
      <c r="AO236" s="1166">
        <v>0</v>
      </c>
      <c r="AP236" s="1166">
        <v>0</v>
      </c>
      <c r="AQ236" s="1166">
        <v>0</v>
      </c>
      <c r="AR236" s="1166">
        <v>0</v>
      </c>
      <c r="AS236" s="1166">
        <v>0</v>
      </c>
      <c r="AT236" s="1166">
        <v>0</v>
      </c>
      <c r="AU236" s="1166">
        <v>0</v>
      </c>
      <c r="AV236" s="1166">
        <v>0</v>
      </c>
      <c r="AW236" s="1166">
        <v>0</v>
      </c>
      <c r="AX236" s="1166">
        <v>0</v>
      </c>
      <c r="AY236" s="1166">
        <v>0</v>
      </c>
      <c r="AZ236" s="1166">
        <v>0</v>
      </c>
      <c r="BA236" s="1166">
        <v>0</v>
      </c>
      <c r="BB236" s="1166">
        <v>0</v>
      </c>
      <c r="BC236" s="1166">
        <v>0</v>
      </c>
      <c r="BD236" s="1166">
        <v>0</v>
      </c>
      <c r="BE236" s="1166">
        <v>0</v>
      </c>
      <c r="BF236" s="1166">
        <v>0</v>
      </c>
      <c r="BG236" s="1166">
        <v>0</v>
      </c>
      <c r="BH236" s="1166">
        <v>0</v>
      </c>
      <c r="BI236" s="1166">
        <v>0</v>
      </c>
      <c r="BJ236" s="1166">
        <v>0</v>
      </c>
      <c r="BK236" s="1166">
        <v>0</v>
      </c>
      <c r="BL236" s="1166">
        <v>0</v>
      </c>
      <c r="BM236" s="1166">
        <v>0</v>
      </c>
      <c r="BN236" s="1166">
        <v>0</v>
      </c>
      <c r="BO236" s="1166">
        <v>0</v>
      </c>
      <c r="BP236" s="1166">
        <v>0</v>
      </c>
      <c r="BQ236" s="1166">
        <v>0</v>
      </c>
      <c r="BR236" s="1166">
        <v>0</v>
      </c>
      <c r="BS236" s="1166">
        <v>0</v>
      </c>
      <c r="BT236" s="1166">
        <v>0</v>
      </c>
      <c r="BU236" s="1166">
        <v>0</v>
      </c>
      <c r="BV236" s="1166">
        <v>0</v>
      </c>
      <c r="BW236" s="1166">
        <v>0</v>
      </c>
      <c r="BX236" s="1166">
        <v>0</v>
      </c>
      <c r="BY236" s="1166">
        <v>0</v>
      </c>
      <c r="BZ236" s="1166">
        <v>0</v>
      </c>
      <c r="CA236" s="1166">
        <v>0</v>
      </c>
      <c r="CB236" s="1166">
        <v>0</v>
      </c>
    </row>
    <row r="237" spans="1:80" s="1156" customFormat="1" x14ac:dyDescent="0.3">
      <c r="A237" s="1154"/>
      <c r="B237" s="1184">
        <v>587</v>
      </c>
      <c r="C237" s="1184" t="s">
        <v>665</v>
      </c>
      <c r="D237" s="1184" t="s">
        <v>666</v>
      </c>
      <c r="E237" s="1164"/>
      <c r="F237" s="1165"/>
      <c r="G237" s="1165"/>
      <c r="H237" s="1165"/>
      <c r="I237" s="1165"/>
      <c r="J237" s="1165"/>
      <c r="K237" s="1165"/>
      <c r="L237" s="1166"/>
      <c r="M237" s="1166"/>
      <c r="N237" s="1166"/>
      <c r="O237" s="1166"/>
      <c r="P237" s="1166"/>
      <c r="Q237" s="1166"/>
      <c r="R237" s="1166"/>
      <c r="S237" s="1166"/>
      <c r="T237" s="1166"/>
      <c r="U237" s="1166"/>
      <c r="V237" s="1166"/>
      <c r="W237" s="1166"/>
      <c r="X237" s="1166"/>
      <c r="Y237" s="1166"/>
      <c r="Z237" s="1166"/>
      <c r="AA237" s="1166"/>
      <c r="AB237" s="1166"/>
      <c r="AC237" s="1166"/>
      <c r="AD237" s="1166"/>
      <c r="AE237" s="1166"/>
      <c r="AF237" s="1166"/>
      <c r="AG237" s="1166"/>
      <c r="AH237" s="1166"/>
      <c r="AI237" s="1166"/>
      <c r="AJ237" s="1166"/>
      <c r="AK237" s="1166"/>
      <c r="AL237" s="1166"/>
      <c r="AM237" s="1166"/>
      <c r="AN237" s="1166"/>
      <c r="AO237" s="1166"/>
      <c r="AP237" s="1166"/>
      <c r="AQ237" s="1166"/>
      <c r="AR237" s="1166"/>
      <c r="AS237" s="1166"/>
      <c r="AT237" s="1166"/>
      <c r="AU237" s="1166"/>
      <c r="AV237" s="1166"/>
      <c r="AW237" s="1166"/>
      <c r="AX237" s="1166"/>
      <c r="AY237" s="1166"/>
      <c r="AZ237" s="1166"/>
      <c r="BA237" s="1166"/>
      <c r="BB237" s="1166"/>
      <c r="BC237" s="1166"/>
      <c r="BD237" s="1166"/>
      <c r="BE237" s="1166"/>
      <c r="BF237" s="1166"/>
      <c r="BG237" s="1166"/>
      <c r="BH237" s="1166"/>
      <c r="BI237" s="1166"/>
      <c r="BJ237" s="1166"/>
      <c r="BK237" s="1166"/>
      <c r="BL237" s="1166"/>
      <c r="BM237" s="1166"/>
      <c r="BN237" s="1166"/>
      <c r="BO237" s="1166"/>
      <c r="BP237" s="1166"/>
      <c r="BQ237" s="1166"/>
      <c r="BR237" s="1166"/>
      <c r="BS237" s="1166"/>
      <c r="BT237" s="1166"/>
      <c r="BU237" s="1166"/>
      <c r="BV237" s="1166"/>
      <c r="BW237" s="1166"/>
      <c r="BX237" s="1166"/>
      <c r="BY237" s="1166"/>
      <c r="BZ237" s="1166"/>
      <c r="CA237" s="1166"/>
      <c r="CB237" s="1166"/>
    </row>
    <row r="238" spans="1:80" s="1156" customFormat="1" x14ac:dyDescent="0.3">
      <c r="A238" s="1154"/>
      <c r="B238" s="1184">
        <v>588</v>
      </c>
      <c r="C238" s="1184" t="s">
        <v>667</v>
      </c>
      <c r="D238" s="1184" t="s">
        <v>668</v>
      </c>
      <c r="E238" s="1164"/>
      <c r="F238" s="1165"/>
      <c r="G238" s="1165"/>
      <c r="H238" s="1165"/>
      <c r="I238" s="1165"/>
      <c r="J238" s="1165"/>
      <c r="K238" s="1165"/>
      <c r="L238" s="1166"/>
      <c r="M238" s="1166"/>
      <c r="N238" s="1166"/>
      <c r="O238" s="1166"/>
      <c r="P238" s="1166"/>
      <c r="Q238" s="1166"/>
      <c r="R238" s="1166"/>
      <c r="S238" s="1166"/>
      <c r="T238" s="1166"/>
      <c r="U238" s="1166"/>
      <c r="V238" s="1166"/>
      <c r="W238" s="1166"/>
      <c r="X238" s="1166"/>
      <c r="Y238" s="1166"/>
      <c r="Z238" s="1166"/>
      <c r="AA238" s="1166"/>
      <c r="AB238" s="1166"/>
      <c r="AC238" s="1166"/>
      <c r="AD238" s="1166"/>
      <c r="AE238" s="1166"/>
      <c r="AF238" s="1166"/>
      <c r="AG238" s="1166"/>
      <c r="AH238" s="1166"/>
      <c r="AI238" s="1166"/>
      <c r="AJ238" s="1166"/>
      <c r="AK238" s="1166"/>
      <c r="AL238" s="1166"/>
      <c r="AM238" s="1166"/>
      <c r="AN238" s="1166"/>
      <c r="AO238" s="1166"/>
      <c r="AP238" s="1166"/>
      <c r="AQ238" s="1166"/>
      <c r="AR238" s="1166"/>
      <c r="AS238" s="1166"/>
      <c r="AT238" s="1166"/>
      <c r="AU238" s="1166"/>
      <c r="AV238" s="1166"/>
      <c r="AW238" s="1166"/>
      <c r="AX238" s="1166"/>
      <c r="AY238" s="1166"/>
      <c r="AZ238" s="1166"/>
      <c r="BA238" s="1166"/>
      <c r="BB238" s="1166"/>
      <c r="BC238" s="1166"/>
      <c r="BD238" s="1166"/>
      <c r="BE238" s="1166"/>
      <c r="BF238" s="1166"/>
      <c r="BG238" s="1166"/>
      <c r="BH238" s="1166"/>
      <c r="BI238" s="1166"/>
      <c r="BJ238" s="1166"/>
      <c r="BK238" s="1166"/>
      <c r="BL238" s="1166"/>
      <c r="BM238" s="1166"/>
      <c r="BN238" s="1166"/>
      <c r="BO238" s="1166"/>
      <c r="BP238" s="1166"/>
      <c r="BQ238" s="1166"/>
      <c r="BR238" s="1166"/>
      <c r="BS238" s="1166"/>
      <c r="BT238" s="1166"/>
      <c r="BU238" s="1166"/>
      <c r="BV238" s="1166"/>
      <c r="BW238" s="1166"/>
      <c r="BX238" s="1166"/>
      <c r="BY238" s="1166"/>
      <c r="BZ238" s="1166"/>
      <c r="CA238" s="1166"/>
      <c r="CB238" s="1166"/>
    </row>
    <row r="239" spans="1:80" s="1156" customFormat="1" x14ac:dyDescent="0.3">
      <c r="A239" s="1154"/>
      <c r="B239" s="1184">
        <v>589</v>
      </c>
      <c r="C239" s="1184" t="s">
        <v>669</v>
      </c>
      <c r="D239" s="1184" t="s">
        <v>670</v>
      </c>
      <c r="E239" s="1164"/>
      <c r="F239" s="1165"/>
      <c r="G239" s="1165"/>
      <c r="H239" s="1165"/>
      <c r="I239" s="1165"/>
      <c r="J239" s="1165"/>
      <c r="K239" s="1165"/>
      <c r="L239" s="1166"/>
      <c r="M239" s="1166"/>
      <c r="N239" s="1166"/>
      <c r="O239" s="1166"/>
      <c r="P239" s="1166"/>
      <c r="Q239" s="1166"/>
      <c r="R239" s="1166"/>
      <c r="S239" s="1166"/>
      <c r="T239" s="1166"/>
      <c r="U239" s="1166"/>
      <c r="V239" s="1166"/>
      <c r="W239" s="1166"/>
      <c r="X239" s="1166"/>
      <c r="Y239" s="1166"/>
      <c r="Z239" s="1166"/>
      <c r="AA239" s="1166"/>
      <c r="AB239" s="1166"/>
      <c r="AC239" s="1166"/>
      <c r="AD239" s="1166"/>
      <c r="AE239" s="1166"/>
      <c r="AF239" s="1166"/>
      <c r="AG239" s="1166"/>
      <c r="AH239" s="1166"/>
      <c r="AI239" s="1166"/>
      <c r="AJ239" s="1166"/>
      <c r="AK239" s="1166"/>
      <c r="AL239" s="1166"/>
      <c r="AM239" s="1166"/>
      <c r="AN239" s="1166"/>
      <c r="AO239" s="1166"/>
      <c r="AP239" s="1166"/>
      <c r="AQ239" s="1166"/>
      <c r="AR239" s="1166"/>
      <c r="AS239" s="1166"/>
      <c r="AT239" s="1166"/>
      <c r="AU239" s="1166"/>
      <c r="AV239" s="1166"/>
      <c r="AW239" s="1166"/>
      <c r="AX239" s="1166"/>
      <c r="AY239" s="1166"/>
      <c r="AZ239" s="1166"/>
      <c r="BA239" s="1166"/>
      <c r="BB239" s="1166"/>
      <c r="BC239" s="1166"/>
      <c r="BD239" s="1166"/>
      <c r="BE239" s="1166"/>
      <c r="BF239" s="1166"/>
      <c r="BG239" s="1166"/>
      <c r="BH239" s="1166"/>
      <c r="BI239" s="1166"/>
      <c r="BJ239" s="1166"/>
      <c r="BK239" s="1166"/>
      <c r="BL239" s="1166"/>
      <c r="BM239" s="1166"/>
      <c r="BN239" s="1166"/>
      <c r="BO239" s="1166"/>
      <c r="BP239" s="1166"/>
      <c r="BQ239" s="1166"/>
      <c r="BR239" s="1166"/>
      <c r="BS239" s="1166"/>
      <c r="BT239" s="1166"/>
      <c r="BU239" s="1166"/>
      <c r="BV239" s="1166"/>
      <c r="BW239" s="1166"/>
      <c r="BX239" s="1166"/>
      <c r="BY239" s="1166"/>
      <c r="BZ239" s="1166"/>
      <c r="CA239" s="1166"/>
      <c r="CB239" s="1166"/>
    </row>
    <row r="240" spans="1:80" s="1156" customFormat="1" x14ac:dyDescent="0.3">
      <c r="A240" s="1154"/>
      <c r="B240" s="1184">
        <v>590</v>
      </c>
      <c r="C240" s="1184" t="s">
        <v>671</v>
      </c>
      <c r="D240" s="1184" t="s">
        <v>672</v>
      </c>
      <c r="E240" s="1164"/>
      <c r="F240" s="1165"/>
      <c r="G240" s="1165"/>
      <c r="H240" s="1165"/>
      <c r="I240" s="1165"/>
      <c r="J240" s="1165"/>
      <c r="K240" s="1165"/>
      <c r="L240" s="1166"/>
      <c r="M240" s="1166"/>
      <c r="N240" s="1166"/>
      <c r="O240" s="1166"/>
      <c r="P240" s="1166"/>
      <c r="Q240" s="1166"/>
      <c r="R240" s="1166"/>
      <c r="S240" s="1166"/>
      <c r="T240" s="1166"/>
      <c r="U240" s="1166"/>
      <c r="V240" s="1166"/>
      <c r="W240" s="1166"/>
      <c r="X240" s="1166"/>
      <c r="Y240" s="1166"/>
      <c r="Z240" s="1166"/>
      <c r="AA240" s="1166"/>
      <c r="AB240" s="1166"/>
      <c r="AC240" s="1166"/>
      <c r="AD240" s="1166"/>
      <c r="AE240" s="1166"/>
      <c r="AF240" s="1166"/>
      <c r="AG240" s="1166"/>
      <c r="AH240" s="1166"/>
      <c r="AI240" s="1166"/>
      <c r="AJ240" s="1166"/>
      <c r="AK240" s="1166"/>
      <c r="AL240" s="1166"/>
      <c r="AM240" s="1166"/>
      <c r="AN240" s="1166"/>
      <c r="AO240" s="1166"/>
      <c r="AP240" s="1166"/>
      <c r="AQ240" s="1166"/>
      <c r="AR240" s="1166"/>
      <c r="AS240" s="1166"/>
      <c r="AT240" s="1166"/>
      <c r="AU240" s="1166"/>
      <c r="AV240" s="1166"/>
      <c r="AW240" s="1166"/>
      <c r="AX240" s="1166"/>
      <c r="AY240" s="1166"/>
      <c r="AZ240" s="1166"/>
      <c r="BA240" s="1166"/>
      <c r="BB240" s="1166"/>
      <c r="BC240" s="1166"/>
      <c r="BD240" s="1166"/>
      <c r="BE240" s="1166"/>
      <c r="BF240" s="1166"/>
      <c r="BG240" s="1166"/>
      <c r="BH240" s="1166"/>
      <c r="BI240" s="1166"/>
      <c r="BJ240" s="1166"/>
      <c r="BK240" s="1166"/>
      <c r="BL240" s="1166"/>
      <c r="BM240" s="1166"/>
      <c r="BN240" s="1166"/>
      <c r="BO240" s="1166"/>
      <c r="BP240" s="1166"/>
      <c r="BQ240" s="1166"/>
      <c r="BR240" s="1166"/>
      <c r="BS240" s="1166"/>
      <c r="BT240" s="1166"/>
      <c r="BU240" s="1166"/>
      <c r="BV240" s="1166"/>
      <c r="BW240" s="1166"/>
      <c r="BX240" s="1166"/>
      <c r="BY240" s="1166"/>
      <c r="BZ240" s="1166"/>
      <c r="CA240" s="1166"/>
      <c r="CB240" s="1166"/>
    </row>
    <row r="241" spans="1:80" s="1156" customFormat="1" x14ac:dyDescent="0.3">
      <c r="A241" s="1154"/>
      <c r="B241" s="1183">
        <v>992</v>
      </c>
      <c r="C241" s="1178"/>
      <c r="D241" s="1154" t="s">
        <v>603</v>
      </c>
      <c r="E241" s="1164"/>
      <c r="F241" s="1165"/>
      <c r="G241" s="1165"/>
      <c r="H241" s="1165"/>
      <c r="I241" s="1165"/>
      <c r="J241" s="1165"/>
      <c r="K241" s="1165"/>
      <c r="L241" s="1166"/>
      <c r="M241" s="1166"/>
      <c r="N241" s="1166"/>
      <c r="O241" s="1166"/>
      <c r="P241" s="1166"/>
      <c r="Q241" s="1166"/>
      <c r="R241" s="1166"/>
      <c r="S241" s="1166"/>
      <c r="T241" s="1166"/>
      <c r="U241" s="1166"/>
      <c r="V241" s="1166"/>
      <c r="W241" s="1166"/>
      <c r="X241" s="1166"/>
      <c r="Y241" s="1166"/>
      <c r="Z241" s="1166"/>
      <c r="AA241" s="1166"/>
      <c r="AB241" s="1166"/>
      <c r="AC241" s="1166"/>
      <c r="AD241" s="1166"/>
      <c r="AE241" s="1166"/>
      <c r="AF241" s="1166"/>
      <c r="AG241" s="1166"/>
      <c r="AH241" s="1166"/>
      <c r="AI241" s="1166"/>
      <c r="AJ241" s="1166"/>
      <c r="AK241" s="1166"/>
      <c r="AL241" s="1166"/>
      <c r="AM241" s="1166"/>
      <c r="AN241" s="1166"/>
      <c r="AO241" s="1166"/>
      <c r="AP241" s="1166"/>
      <c r="AQ241" s="1166"/>
      <c r="AR241" s="1166"/>
      <c r="AS241" s="1166"/>
      <c r="AT241" s="1166"/>
      <c r="AU241" s="1166"/>
      <c r="AV241" s="1166"/>
      <c r="AW241" s="1166"/>
      <c r="AX241" s="1166"/>
      <c r="AY241" s="1166"/>
      <c r="AZ241" s="1166"/>
      <c r="BA241" s="1166"/>
      <c r="BB241" s="1166"/>
      <c r="BC241" s="1166"/>
      <c r="BD241" s="1166"/>
      <c r="BE241" s="1166"/>
      <c r="BF241" s="1166"/>
      <c r="BG241" s="1166"/>
      <c r="BH241" s="1166"/>
      <c r="BI241" s="1166"/>
      <c r="BJ241" s="1166"/>
      <c r="BK241" s="1166"/>
      <c r="BL241" s="1166"/>
      <c r="BM241" s="1166"/>
      <c r="BN241" s="1166"/>
      <c r="BO241" s="1166"/>
      <c r="BP241" s="1166"/>
      <c r="BQ241" s="1166"/>
      <c r="BR241" s="1166"/>
      <c r="BS241" s="1166"/>
      <c r="BT241" s="1166"/>
      <c r="BU241" s="1166"/>
      <c r="BV241" s="1166"/>
      <c r="BW241" s="1166"/>
      <c r="BX241" s="1166"/>
      <c r="BY241" s="1166"/>
      <c r="BZ241" s="1166"/>
      <c r="CA241" s="1166"/>
      <c r="CB241" s="1166"/>
    </row>
    <row r="242" spans="1:80" s="1186" customFormat="1" x14ac:dyDescent="0.3">
      <c r="A242" s="1154"/>
      <c r="B242" s="1185">
        <v>993</v>
      </c>
      <c r="C242" s="1163" t="s">
        <v>515</v>
      </c>
      <c r="D242" s="1154" t="s">
        <v>516</v>
      </c>
      <c r="E242" s="1164"/>
      <c r="F242" s="1165"/>
      <c r="G242" s="1165"/>
      <c r="H242" s="1165"/>
      <c r="I242" s="1165"/>
      <c r="J242" s="1165"/>
      <c r="K242" s="1165"/>
      <c r="L242" s="1166"/>
      <c r="M242" s="1166"/>
      <c r="N242" s="1166"/>
      <c r="O242" s="1166"/>
      <c r="P242" s="1166"/>
      <c r="Q242" s="1166"/>
      <c r="R242" s="1166"/>
      <c r="S242" s="1166"/>
      <c r="T242" s="1166"/>
      <c r="U242" s="1166"/>
      <c r="V242" s="1166"/>
      <c r="W242" s="1166"/>
      <c r="X242" s="1166"/>
      <c r="Y242" s="1166"/>
      <c r="Z242" s="1166"/>
      <c r="AA242" s="1166"/>
      <c r="AB242" s="1166"/>
      <c r="AC242" s="1166"/>
      <c r="AD242" s="1166"/>
      <c r="AE242" s="1166"/>
      <c r="AF242" s="1166"/>
      <c r="AG242" s="1166"/>
      <c r="AH242" s="1166"/>
      <c r="AI242" s="1166"/>
      <c r="AJ242" s="1166"/>
      <c r="AK242" s="1166"/>
      <c r="AL242" s="1166"/>
      <c r="AM242" s="1166"/>
      <c r="AN242" s="1166"/>
      <c r="AO242" s="1166"/>
      <c r="AP242" s="1166"/>
      <c r="AQ242" s="1166"/>
      <c r="AR242" s="1166"/>
      <c r="AS242" s="1166"/>
      <c r="AT242" s="1166"/>
      <c r="AU242" s="1166"/>
      <c r="AV242" s="1166"/>
      <c r="AW242" s="1166"/>
      <c r="AX242" s="1166"/>
      <c r="AY242" s="1166"/>
      <c r="AZ242" s="1166"/>
      <c r="BA242" s="1166"/>
      <c r="BB242" s="1166"/>
      <c r="BC242" s="1166"/>
      <c r="BD242" s="1166"/>
      <c r="BE242" s="1166"/>
      <c r="BF242" s="1166"/>
      <c r="BG242" s="1166"/>
      <c r="BH242" s="1166"/>
      <c r="BI242" s="1166"/>
      <c r="BJ242" s="1166"/>
      <c r="BK242" s="1166"/>
      <c r="BL242" s="1166"/>
      <c r="BM242" s="1166"/>
      <c r="BN242" s="1166"/>
      <c r="BO242" s="1166"/>
      <c r="BP242" s="1166"/>
      <c r="BQ242" s="1166"/>
      <c r="BR242" s="1166"/>
      <c r="BS242" s="1166"/>
      <c r="BT242" s="1166"/>
      <c r="BU242" s="1166"/>
      <c r="BV242" s="1166"/>
      <c r="BW242" s="1166"/>
      <c r="BX242" s="1166"/>
      <c r="BY242" s="1166"/>
      <c r="BZ242" s="1166"/>
      <c r="CA242" s="1166"/>
      <c r="CB242" s="1166"/>
    </row>
    <row r="243" spans="1:80" s="1186" customFormat="1" x14ac:dyDescent="0.3">
      <c r="A243" s="1154"/>
      <c r="B243" s="1185">
        <v>994</v>
      </c>
      <c r="C243" s="1163" t="s">
        <v>517</v>
      </c>
      <c r="D243" s="1154" t="s">
        <v>518</v>
      </c>
      <c r="E243" s="1164"/>
      <c r="F243" s="1165"/>
      <c r="G243" s="1165"/>
      <c r="H243" s="1165"/>
      <c r="I243" s="1165"/>
      <c r="J243" s="1165"/>
      <c r="K243" s="1165"/>
      <c r="L243" s="1166"/>
      <c r="M243" s="1166"/>
      <c r="N243" s="1166"/>
      <c r="O243" s="1166"/>
      <c r="P243" s="1166"/>
      <c r="Q243" s="1166"/>
      <c r="R243" s="1166"/>
      <c r="S243" s="1166"/>
      <c r="T243" s="1166"/>
      <c r="U243" s="1166"/>
      <c r="V243" s="1166"/>
      <c r="W243" s="1166"/>
      <c r="X243" s="1166"/>
      <c r="Y243" s="1166"/>
      <c r="Z243" s="1166"/>
      <c r="AA243" s="1166"/>
      <c r="AB243" s="1166"/>
      <c r="AC243" s="1166"/>
      <c r="AD243" s="1166"/>
      <c r="AE243" s="1166"/>
      <c r="AF243" s="1166"/>
      <c r="AG243" s="1166"/>
      <c r="AH243" s="1166"/>
      <c r="AI243" s="1166"/>
      <c r="AJ243" s="1166"/>
      <c r="AK243" s="1166"/>
      <c r="AL243" s="1166"/>
      <c r="AM243" s="1166"/>
      <c r="AN243" s="1166"/>
      <c r="AO243" s="1166"/>
      <c r="AP243" s="1166"/>
      <c r="AQ243" s="1166"/>
      <c r="AR243" s="1166"/>
      <c r="AS243" s="1166"/>
      <c r="AT243" s="1166"/>
      <c r="AU243" s="1166"/>
      <c r="AV243" s="1166"/>
      <c r="AW243" s="1166"/>
      <c r="AX243" s="1166"/>
      <c r="AY243" s="1166"/>
      <c r="AZ243" s="1166"/>
      <c r="BA243" s="1166"/>
      <c r="BB243" s="1166"/>
      <c r="BC243" s="1166"/>
      <c r="BD243" s="1166"/>
      <c r="BE243" s="1166"/>
      <c r="BF243" s="1166"/>
      <c r="BG243" s="1166"/>
      <c r="BH243" s="1166"/>
      <c r="BI243" s="1166"/>
      <c r="BJ243" s="1166"/>
      <c r="BK243" s="1166"/>
      <c r="BL243" s="1166"/>
      <c r="BM243" s="1166"/>
      <c r="BN243" s="1166"/>
      <c r="BO243" s="1166"/>
      <c r="BP243" s="1166"/>
      <c r="BQ243" s="1166"/>
      <c r="BR243" s="1166"/>
      <c r="BS243" s="1166"/>
      <c r="BT243" s="1166"/>
      <c r="BU243" s="1166"/>
      <c r="BV243" s="1166"/>
      <c r="BW243" s="1166"/>
      <c r="BX243" s="1166"/>
      <c r="BY243" s="1166"/>
      <c r="BZ243" s="1166"/>
      <c r="CA243" s="1166"/>
      <c r="CB243" s="1166"/>
    </row>
    <row r="244" spans="1:80" s="1186" customFormat="1" x14ac:dyDescent="0.3">
      <c r="A244" s="1161">
        <v>995</v>
      </c>
      <c r="B244" s="1185">
        <v>995</v>
      </c>
      <c r="C244" s="1163" t="s">
        <v>519</v>
      </c>
      <c r="D244" s="1154" t="s">
        <v>520</v>
      </c>
      <c r="E244" s="1169">
        <v>0</v>
      </c>
      <c r="F244" s="1170">
        <v>0</v>
      </c>
      <c r="G244" s="1170">
        <v>0</v>
      </c>
      <c r="H244" s="1170">
        <v>0</v>
      </c>
      <c r="I244" s="1170">
        <v>0</v>
      </c>
      <c r="J244" s="1170">
        <v>0</v>
      </c>
      <c r="K244" s="1170">
        <v>0</v>
      </c>
      <c r="L244" s="1171">
        <v>0</v>
      </c>
      <c r="M244" s="1171">
        <v>0</v>
      </c>
      <c r="N244" s="1171">
        <v>0</v>
      </c>
      <c r="O244" s="1171">
        <v>0</v>
      </c>
      <c r="P244" s="1171">
        <v>0</v>
      </c>
      <c r="Q244" s="1171">
        <v>0</v>
      </c>
      <c r="R244" s="1171">
        <v>0</v>
      </c>
      <c r="S244" s="1171">
        <v>0</v>
      </c>
      <c r="T244" s="1171">
        <v>0.09</v>
      </c>
      <c r="U244" s="1171">
        <v>0</v>
      </c>
      <c r="V244" s="1171">
        <v>0.08</v>
      </c>
      <c r="W244" s="1171">
        <v>0</v>
      </c>
      <c r="X244" s="1171">
        <v>0</v>
      </c>
      <c r="Y244" s="1171">
        <v>0</v>
      </c>
      <c r="Z244" s="1171">
        <v>0</v>
      </c>
      <c r="AA244" s="1171">
        <v>0.08</v>
      </c>
      <c r="AB244" s="1171">
        <v>0</v>
      </c>
      <c r="AC244" s="1171">
        <v>0</v>
      </c>
      <c r="AD244" s="1171">
        <v>0</v>
      </c>
      <c r="AE244" s="1171">
        <v>0</v>
      </c>
      <c r="AF244" s="1171">
        <v>7.0000000000000007E-2</v>
      </c>
      <c r="AG244" s="1171">
        <v>0</v>
      </c>
      <c r="AH244" s="1171">
        <v>0</v>
      </c>
      <c r="AI244" s="1171">
        <v>0</v>
      </c>
      <c r="AJ244" s="1171">
        <v>0</v>
      </c>
      <c r="AK244" s="1171">
        <v>0.08</v>
      </c>
      <c r="AL244" s="1171">
        <v>0</v>
      </c>
      <c r="AM244" s="1171">
        <v>0</v>
      </c>
      <c r="AN244" s="1171">
        <v>0</v>
      </c>
      <c r="AO244" s="1171">
        <v>0</v>
      </c>
      <c r="AP244" s="1171">
        <v>0</v>
      </c>
      <c r="AQ244" s="1171">
        <v>0</v>
      </c>
      <c r="AR244" s="1171">
        <v>7.0000000000000007E-2</v>
      </c>
      <c r="AS244" s="1171">
        <v>0</v>
      </c>
      <c r="AT244" s="1171">
        <v>0</v>
      </c>
      <c r="AU244" s="1171">
        <v>0</v>
      </c>
      <c r="AV244" s="1171">
        <v>7.0000000000000007E-2</v>
      </c>
      <c r="AW244" s="1171">
        <v>0</v>
      </c>
      <c r="AX244" s="1171">
        <v>0</v>
      </c>
      <c r="AY244" s="1171">
        <v>0</v>
      </c>
      <c r="AZ244" s="1171">
        <v>0</v>
      </c>
      <c r="BA244" s="1171">
        <v>0.08</v>
      </c>
      <c r="BB244" s="1171">
        <v>0</v>
      </c>
      <c r="BC244" s="1171">
        <v>0</v>
      </c>
      <c r="BD244" s="1171">
        <v>0.09</v>
      </c>
      <c r="BE244" s="1171">
        <v>0</v>
      </c>
      <c r="BF244" s="1171">
        <v>0.08</v>
      </c>
      <c r="BG244" s="1171">
        <v>0.09</v>
      </c>
      <c r="BH244" s="1171">
        <v>0</v>
      </c>
      <c r="BI244" s="1171">
        <v>0</v>
      </c>
      <c r="BJ244" s="1171">
        <v>0</v>
      </c>
      <c r="BK244" s="1171">
        <v>0</v>
      </c>
      <c r="BL244" s="1171">
        <v>7.0000000000000007E-2</v>
      </c>
      <c r="BM244" s="1171">
        <v>0</v>
      </c>
      <c r="BN244" s="1171">
        <v>0</v>
      </c>
      <c r="BO244" s="1171">
        <v>0</v>
      </c>
      <c r="BP244" s="1171">
        <v>0</v>
      </c>
      <c r="BQ244" s="1171">
        <v>0</v>
      </c>
      <c r="BR244" s="1171">
        <v>0</v>
      </c>
      <c r="BS244" s="1171">
        <v>0</v>
      </c>
      <c r="BT244" s="1171">
        <v>0</v>
      </c>
      <c r="BU244" s="1171">
        <v>0</v>
      </c>
      <c r="BV244" s="1171">
        <v>0</v>
      </c>
      <c r="BW244" s="1171">
        <v>0</v>
      </c>
      <c r="BX244" s="1171">
        <v>0</v>
      </c>
      <c r="BY244" s="1171">
        <v>0</v>
      </c>
      <c r="BZ244" s="1171">
        <v>0</v>
      </c>
      <c r="CA244" s="1171">
        <v>0</v>
      </c>
      <c r="CB244" s="1171">
        <v>0</v>
      </c>
    </row>
    <row r="245" spans="1:80" s="1186" customFormat="1" x14ac:dyDescent="0.3">
      <c r="A245" s="1161">
        <v>996</v>
      </c>
      <c r="B245" s="1185">
        <v>996</v>
      </c>
      <c r="C245" s="1163" t="s">
        <v>521</v>
      </c>
      <c r="D245" s="1154" t="s">
        <v>522</v>
      </c>
      <c r="E245" s="1169">
        <v>0</v>
      </c>
      <c r="F245" s="1170">
        <v>0</v>
      </c>
      <c r="G245" s="1170">
        <v>0.01</v>
      </c>
      <c r="H245" s="1170">
        <v>0.01</v>
      </c>
      <c r="I245" s="1170">
        <v>0.01</v>
      </c>
      <c r="J245" s="1170">
        <v>0.01</v>
      </c>
      <c r="K245" s="1170">
        <v>0.01</v>
      </c>
      <c r="L245" s="1171">
        <v>0.01</v>
      </c>
      <c r="M245" s="1171">
        <v>0.01</v>
      </c>
      <c r="N245" s="1171">
        <v>0</v>
      </c>
      <c r="O245" s="1171">
        <v>0.01</v>
      </c>
      <c r="P245" s="1171">
        <v>0.01</v>
      </c>
      <c r="Q245" s="1171">
        <v>0</v>
      </c>
      <c r="R245" s="1171">
        <v>0.01</v>
      </c>
      <c r="S245" s="1171">
        <v>0.01</v>
      </c>
      <c r="T245" s="1171">
        <v>0.01</v>
      </c>
      <c r="U245" s="1171">
        <v>0.01</v>
      </c>
      <c r="V245" s="1171">
        <v>0.01</v>
      </c>
      <c r="W245" s="1171">
        <v>0</v>
      </c>
      <c r="X245" s="1171">
        <v>0</v>
      </c>
      <c r="Y245" s="1171">
        <v>0</v>
      </c>
      <c r="Z245" s="1171">
        <v>0.01</v>
      </c>
      <c r="AA245" s="1171">
        <v>0.01</v>
      </c>
      <c r="AB245" s="1171">
        <v>0.01</v>
      </c>
      <c r="AC245" s="1171">
        <v>0</v>
      </c>
      <c r="AD245" s="1171">
        <v>0.01</v>
      </c>
      <c r="AE245" s="1171">
        <v>0.01</v>
      </c>
      <c r="AF245" s="1171">
        <v>0.01</v>
      </c>
      <c r="AG245" s="1171">
        <v>0.01</v>
      </c>
      <c r="AH245" s="1171">
        <v>0</v>
      </c>
      <c r="AI245" s="1171">
        <v>0</v>
      </c>
      <c r="AJ245" s="1171">
        <v>0.01</v>
      </c>
      <c r="AK245" s="1171">
        <v>0.01</v>
      </c>
      <c r="AL245" s="1171">
        <v>0.01</v>
      </c>
      <c r="AM245" s="1171">
        <v>0</v>
      </c>
      <c r="AN245" s="1171">
        <v>0.01</v>
      </c>
      <c r="AO245" s="1171">
        <v>0.01</v>
      </c>
      <c r="AP245" s="1171">
        <v>0.01</v>
      </c>
      <c r="AQ245" s="1171">
        <v>0</v>
      </c>
      <c r="AR245" s="1171">
        <v>0.01</v>
      </c>
      <c r="AS245" s="1171">
        <v>0.01</v>
      </c>
      <c r="AT245" s="1171">
        <v>0.01</v>
      </c>
      <c r="AU245" s="1171">
        <v>0.01</v>
      </c>
      <c r="AV245" s="1171">
        <v>0.01</v>
      </c>
      <c r="AW245" s="1171">
        <v>0.01</v>
      </c>
      <c r="AX245" s="1171">
        <v>0.01</v>
      </c>
      <c r="AY245" s="1171">
        <v>0.01</v>
      </c>
      <c r="AZ245" s="1171">
        <v>0.01</v>
      </c>
      <c r="BA245" s="1171">
        <v>0.01</v>
      </c>
      <c r="BB245" s="1171">
        <v>0.01</v>
      </c>
      <c r="BC245" s="1171">
        <v>0.01</v>
      </c>
      <c r="BD245" s="1171">
        <v>0.01</v>
      </c>
      <c r="BE245" s="1171">
        <v>0</v>
      </c>
      <c r="BF245" s="1171">
        <v>0.01</v>
      </c>
      <c r="BG245" s="1171">
        <v>0.01</v>
      </c>
      <c r="BH245" s="1171">
        <v>0</v>
      </c>
      <c r="BI245" s="1171">
        <v>0.01</v>
      </c>
      <c r="BJ245" s="1171">
        <v>0.01</v>
      </c>
      <c r="BK245" s="1171">
        <v>0.01</v>
      </c>
      <c r="BL245" s="1171">
        <v>0.01</v>
      </c>
      <c r="BM245" s="1171">
        <v>0.01</v>
      </c>
      <c r="BN245" s="1171">
        <v>0</v>
      </c>
      <c r="BO245" s="1171">
        <v>0.01</v>
      </c>
      <c r="BP245" s="1171">
        <v>0.01</v>
      </c>
      <c r="BQ245" s="1171">
        <v>0.01</v>
      </c>
      <c r="BR245" s="1171">
        <v>0.01</v>
      </c>
      <c r="BS245" s="1171">
        <v>0</v>
      </c>
      <c r="BT245" s="1171">
        <v>0</v>
      </c>
      <c r="BU245" s="1171">
        <v>0.01</v>
      </c>
      <c r="BV245" s="1171">
        <v>0.01</v>
      </c>
      <c r="BW245" s="1171">
        <v>0.01</v>
      </c>
      <c r="BX245" s="1171">
        <v>0.01</v>
      </c>
      <c r="BY245" s="1171">
        <v>0</v>
      </c>
      <c r="BZ245" s="1171">
        <v>0</v>
      </c>
      <c r="CA245" s="1171">
        <v>0.01</v>
      </c>
      <c r="CB245" s="1171">
        <v>0</v>
      </c>
    </row>
    <row r="246" spans="1:80" s="1156" customFormat="1" x14ac:dyDescent="0.3">
      <c r="A246" s="1161"/>
      <c r="B246" s="1185">
        <v>997</v>
      </c>
      <c r="C246" s="1163"/>
      <c r="D246" s="1154"/>
      <c r="E246" s="1169"/>
      <c r="F246" s="1170"/>
      <c r="G246" s="1170"/>
      <c r="H246" s="1170"/>
      <c r="I246" s="1170"/>
      <c r="J246" s="1170"/>
      <c r="K246" s="1170"/>
      <c r="L246" s="1171"/>
      <c r="M246" s="1171"/>
      <c r="N246" s="1171"/>
      <c r="O246" s="1171"/>
      <c r="P246" s="1171"/>
      <c r="Q246" s="1171"/>
      <c r="R246" s="1171"/>
      <c r="S246" s="1171"/>
      <c r="T246" s="1171"/>
      <c r="U246" s="1171"/>
      <c r="V246" s="1171"/>
      <c r="W246" s="1171"/>
      <c r="X246" s="1171"/>
      <c r="Y246" s="1171"/>
      <c r="Z246" s="1171"/>
      <c r="AA246" s="1171"/>
      <c r="AB246" s="1171"/>
      <c r="AC246" s="1171"/>
      <c r="AD246" s="1171"/>
      <c r="AE246" s="1171"/>
      <c r="AF246" s="1171"/>
      <c r="AG246" s="1171"/>
      <c r="AH246" s="1171"/>
      <c r="AI246" s="1171"/>
      <c r="AJ246" s="1171"/>
      <c r="AK246" s="1171"/>
      <c r="AL246" s="1171"/>
      <c r="AM246" s="1171"/>
      <c r="AN246" s="1171"/>
      <c r="AO246" s="1171"/>
      <c r="AP246" s="1171"/>
      <c r="AQ246" s="1171"/>
      <c r="AR246" s="1171"/>
      <c r="AS246" s="1171"/>
      <c r="AT246" s="1171"/>
      <c r="AU246" s="1171"/>
      <c r="AV246" s="1171"/>
      <c r="AW246" s="1171"/>
      <c r="AX246" s="1171"/>
      <c r="AY246" s="1171"/>
      <c r="AZ246" s="1171"/>
      <c r="BA246" s="1171"/>
      <c r="BB246" s="1171"/>
      <c r="BC246" s="1171"/>
      <c r="BD246" s="1171"/>
      <c r="BE246" s="1171"/>
      <c r="BF246" s="1171"/>
      <c r="BG246" s="1171"/>
      <c r="BH246" s="1171"/>
      <c r="BI246" s="1171"/>
      <c r="BJ246" s="1171"/>
      <c r="BK246" s="1171"/>
      <c r="BL246" s="1171"/>
      <c r="BM246" s="1171"/>
      <c r="BN246" s="1171"/>
      <c r="BO246" s="1171"/>
      <c r="BP246" s="1171"/>
      <c r="BQ246" s="1171"/>
      <c r="BR246" s="1171"/>
      <c r="BS246" s="1171"/>
      <c r="BT246" s="1171"/>
      <c r="BU246" s="1171"/>
      <c r="BV246" s="1171"/>
      <c r="BW246" s="1171"/>
      <c r="BX246" s="1171"/>
      <c r="BY246" s="1171"/>
      <c r="BZ246" s="1171"/>
      <c r="CA246" s="1171"/>
      <c r="CB246" s="1171"/>
    </row>
    <row r="247" spans="1:80" s="1156" customFormat="1" x14ac:dyDescent="0.3">
      <c r="A247" s="1161">
        <v>998</v>
      </c>
      <c r="B247" s="1162">
        <v>998</v>
      </c>
      <c r="C247" s="1163" t="s">
        <v>292</v>
      </c>
      <c r="D247" s="1154" t="s">
        <v>523</v>
      </c>
      <c r="E247" s="1164">
        <v>50</v>
      </c>
      <c r="F247" s="1165">
        <v>50</v>
      </c>
      <c r="G247" s="1165">
        <v>50</v>
      </c>
      <c r="H247" s="1165">
        <v>50</v>
      </c>
      <c r="I247" s="1165">
        <v>50</v>
      </c>
      <c r="J247" s="1165">
        <v>50</v>
      </c>
      <c r="K247" s="1165">
        <v>50</v>
      </c>
      <c r="L247" s="1166">
        <v>50</v>
      </c>
      <c r="M247" s="1166">
        <v>50</v>
      </c>
      <c r="N247" s="1166">
        <v>50</v>
      </c>
      <c r="O247" s="1166">
        <v>50</v>
      </c>
      <c r="P247" s="1166">
        <v>50</v>
      </c>
      <c r="Q247" s="1166">
        <v>50</v>
      </c>
      <c r="R247" s="1166">
        <v>50</v>
      </c>
      <c r="S247" s="1166">
        <v>50</v>
      </c>
      <c r="T247" s="1166">
        <v>50</v>
      </c>
      <c r="U247" s="1166">
        <v>50</v>
      </c>
      <c r="V247" s="1166">
        <v>50</v>
      </c>
      <c r="W247" s="1166">
        <v>50</v>
      </c>
      <c r="X247" s="1166">
        <v>50</v>
      </c>
      <c r="Y247" s="1166">
        <v>50</v>
      </c>
      <c r="Z247" s="1166">
        <v>50</v>
      </c>
      <c r="AA247" s="1166">
        <v>50</v>
      </c>
      <c r="AB247" s="1166">
        <v>50</v>
      </c>
      <c r="AC247" s="1166">
        <v>50</v>
      </c>
      <c r="AD247" s="1166">
        <v>50</v>
      </c>
      <c r="AE247" s="1166">
        <v>50</v>
      </c>
      <c r="AF247" s="1166">
        <v>50</v>
      </c>
      <c r="AG247" s="1166">
        <v>50</v>
      </c>
      <c r="AH247" s="1166">
        <v>50</v>
      </c>
      <c r="AI247" s="1166">
        <v>50</v>
      </c>
      <c r="AJ247" s="1166">
        <v>50</v>
      </c>
      <c r="AK247" s="1166">
        <v>50</v>
      </c>
      <c r="AL247" s="1166">
        <v>50</v>
      </c>
      <c r="AM247" s="1166">
        <v>50</v>
      </c>
      <c r="AN247" s="1166">
        <v>50</v>
      </c>
      <c r="AO247" s="1166">
        <v>50</v>
      </c>
      <c r="AP247" s="1166">
        <v>50</v>
      </c>
      <c r="AQ247" s="1166">
        <v>50</v>
      </c>
      <c r="AR247" s="1166">
        <v>50</v>
      </c>
      <c r="AS247" s="1166">
        <v>50</v>
      </c>
      <c r="AT247" s="1166">
        <v>50</v>
      </c>
      <c r="AU247" s="1166">
        <v>50</v>
      </c>
      <c r="AV247" s="1166">
        <v>50</v>
      </c>
      <c r="AW247" s="1166">
        <v>50</v>
      </c>
      <c r="AX247" s="1166">
        <v>50</v>
      </c>
      <c r="AY247" s="1166">
        <v>50</v>
      </c>
      <c r="AZ247" s="1166">
        <v>50</v>
      </c>
      <c r="BA247" s="1166">
        <v>50</v>
      </c>
      <c r="BB247" s="1166">
        <v>50</v>
      </c>
      <c r="BC247" s="1166">
        <v>50</v>
      </c>
      <c r="BD247" s="1166">
        <v>50</v>
      </c>
      <c r="BE247" s="1166">
        <v>50</v>
      </c>
      <c r="BF247" s="1166">
        <v>50</v>
      </c>
      <c r="BG247" s="1166">
        <v>50</v>
      </c>
      <c r="BH247" s="1166">
        <v>50</v>
      </c>
      <c r="BI247" s="1166">
        <v>50</v>
      </c>
      <c r="BJ247" s="1166">
        <v>50</v>
      </c>
      <c r="BK247" s="1166">
        <v>50</v>
      </c>
      <c r="BL247" s="1166">
        <v>50</v>
      </c>
      <c r="BM247" s="1166">
        <v>50</v>
      </c>
      <c r="BN247" s="1166">
        <v>50</v>
      </c>
      <c r="BO247" s="1166">
        <v>50</v>
      </c>
      <c r="BP247" s="1166">
        <v>50</v>
      </c>
      <c r="BQ247" s="1166">
        <v>50</v>
      </c>
      <c r="BR247" s="1166">
        <v>50</v>
      </c>
      <c r="BS247" s="1166">
        <v>50</v>
      </c>
      <c r="BT247" s="1166">
        <v>50</v>
      </c>
      <c r="BU247" s="1166">
        <v>50</v>
      </c>
      <c r="BV247" s="1166">
        <v>50</v>
      </c>
      <c r="BW247" s="1166">
        <v>50</v>
      </c>
      <c r="BX247" s="1166">
        <v>50</v>
      </c>
      <c r="BY247" s="1166">
        <v>50</v>
      </c>
      <c r="BZ247" s="1166">
        <v>50</v>
      </c>
      <c r="CA247" s="1166">
        <v>50</v>
      </c>
      <c r="CB247" s="1166">
        <v>50</v>
      </c>
    </row>
    <row r="248" spans="1:80" s="1156" customFormat="1" x14ac:dyDescent="0.3">
      <c r="A248" s="1161">
        <v>999</v>
      </c>
      <c r="B248" s="1187">
        <v>999</v>
      </c>
      <c r="C248" s="1163" t="s">
        <v>293</v>
      </c>
      <c r="D248" s="1154" t="s">
        <v>524</v>
      </c>
      <c r="E248" s="1188">
        <v>50476</v>
      </c>
      <c r="F248" s="1189">
        <v>50191</v>
      </c>
      <c r="G248" s="1189">
        <v>50192</v>
      </c>
      <c r="H248" s="1189">
        <v>50193</v>
      </c>
      <c r="I248" s="1189">
        <v>50194</v>
      </c>
      <c r="J248" s="1189">
        <v>50195</v>
      </c>
      <c r="K248" s="1189">
        <v>50196</v>
      </c>
      <c r="L248" s="1160">
        <v>50197</v>
      </c>
      <c r="M248" s="1160">
        <v>50498</v>
      </c>
      <c r="N248" s="1160">
        <v>50198</v>
      </c>
      <c r="O248" s="1160">
        <v>50199</v>
      </c>
      <c r="P248" s="1160">
        <v>50200</v>
      </c>
      <c r="Q248" s="1160">
        <v>50201</v>
      </c>
      <c r="R248" s="1160">
        <v>50202</v>
      </c>
      <c r="S248" s="1160">
        <v>50493</v>
      </c>
      <c r="T248" s="1160">
        <v>50203</v>
      </c>
      <c r="U248" s="1160">
        <v>50518</v>
      </c>
      <c r="V248" s="1160">
        <v>50204</v>
      </c>
      <c r="W248" s="1160">
        <v>50205</v>
      </c>
      <c r="X248" s="1160">
        <v>50206</v>
      </c>
      <c r="Y248" s="1160">
        <v>50207</v>
      </c>
      <c r="Z248" s="1160">
        <v>50208</v>
      </c>
      <c r="AA248" s="1160">
        <v>50209</v>
      </c>
      <c r="AB248" s="1160">
        <v>50210</v>
      </c>
      <c r="AC248" s="1160">
        <v>50519</v>
      </c>
      <c r="AD248" s="1160">
        <v>50528</v>
      </c>
      <c r="AE248" s="1160">
        <v>50211</v>
      </c>
      <c r="AF248" s="1160">
        <v>50212</v>
      </c>
      <c r="AG248" s="1160">
        <v>50213</v>
      </c>
      <c r="AH248" s="1160">
        <v>50214</v>
      </c>
      <c r="AI248" s="1160">
        <v>50215</v>
      </c>
      <c r="AJ248" s="1160">
        <v>50216</v>
      </c>
      <c r="AK248" s="1160">
        <v>50217</v>
      </c>
      <c r="AL248" s="1160">
        <v>50218</v>
      </c>
      <c r="AM248" s="1160">
        <v>50477</v>
      </c>
      <c r="AN248" s="1160">
        <v>50520</v>
      </c>
      <c r="AO248" s="1160">
        <v>50219</v>
      </c>
      <c r="AP248" s="1160">
        <v>50220</v>
      </c>
      <c r="AQ248" s="1160">
        <v>50536</v>
      </c>
      <c r="AR248" s="1160">
        <v>50221</v>
      </c>
      <c r="AS248" s="1160">
        <v>50222</v>
      </c>
      <c r="AT248" s="1160">
        <v>50223</v>
      </c>
      <c r="AU248" s="1160">
        <v>50224</v>
      </c>
      <c r="AV248" s="1160">
        <v>50225</v>
      </c>
      <c r="AW248" s="1160">
        <v>50226</v>
      </c>
      <c r="AX248" s="1160">
        <v>50227</v>
      </c>
      <c r="AY248" s="1160">
        <v>50455</v>
      </c>
      <c r="AZ248" s="1160">
        <v>50229</v>
      </c>
      <c r="BA248" s="1160">
        <v>50230</v>
      </c>
      <c r="BB248" s="1160">
        <v>50231</v>
      </c>
      <c r="BC248" s="1160">
        <v>50232</v>
      </c>
      <c r="BD248" s="1160">
        <v>50233</v>
      </c>
      <c r="BE248" s="1160">
        <v>50234</v>
      </c>
      <c r="BF248" s="1160">
        <v>50235</v>
      </c>
      <c r="BG248" s="1160">
        <v>50236</v>
      </c>
      <c r="BH248" s="1160">
        <v>50237</v>
      </c>
      <c r="BI248" s="1160">
        <v>50238</v>
      </c>
      <c r="BJ248" s="1160">
        <v>50444</v>
      </c>
      <c r="BK248" s="1160">
        <v>50239</v>
      </c>
      <c r="BL248" s="1160">
        <v>50240</v>
      </c>
      <c r="BM248" s="1160">
        <v>50241</v>
      </c>
      <c r="BN248" s="1160">
        <v>50521</v>
      </c>
      <c r="BO248" s="1160">
        <v>50242</v>
      </c>
      <c r="BP248" s="1160">
        <v>50244</v>
      </c>
      <c r="BQ248" s="1160">
        <v>50243</v>
      </c>
      <c r="BR248" s="1160">
        <v>50245</v>
      </c>
      <c r="BS248" s="1160">
        <v>50522</v>
      </c>
      <c r="BT248" s="1160">
        <v>50246</v>
      </c>
      <c r="BU248" s="1160">
        <v>50247</v>
      </c>
      <c r="BV248" s="1160">
        <v>50248</v>
      </c>
      <c r="BW248" s="1160">
        <v>50249</v>
      </c>
      <c r="BX248" s="1160">
        <v>50250</v>
      </c>
      <c r="BY248" s="1160">
        <v>50251</v>
      </c>
      <c r="BZ248" s="1160">
        <v>50252</v>
      </c>
      <c r="CA248" s="1160">
        <v>50253</v>
      </c>
      <c r="CB248" s="1160">
        <v>50454</v>
      </c>
    </row>
    <row r="249" spans="1:80" x14ac:dyDescent="0.3">
      <c r="B249" s="1187">
        <v>1000</v>
      </c>
      <c r="C249" s="1163"/>
      <c r="E249" s="1188" t="s">
        <v>31</v>
      </c>
      <c r="F249" s="1188" t="s">
        <v>31</v>
      </c>
      <c r="G249" s="1188" t="s">
        <v>930</v>
      </c>
      <c r="H249" s="1188" t="s">
        <v>930</v>
      </c>
      <c r="I249" s="1188" t="s">
        <v>930</v>
      </c>
      <c r="J249" s="1188" t="s">
        <v>930</v>
      </c>
      <c r="K249" s="1188" t="s">
        <v>930</v>
      </c>
      <c r="L249" s="1188" t="s">
        <v>930</v>
      </c>
      <c r="M249" s="1188" t="s">
        <v>930</v>
      </c>
      <c r="N249" s="1188" t="s">
        <v>31</v>
      </c>
      <c r="O249" s="1188" t="s">
        <v>930</v>
      </c>
      <c r="P249" s="1188" t="s">
        <v>930</v>
      </c>
      <c r="Q249" s="1188" t="s">
        <v>31</v>
      </c>
      <c r="R249" s="1188" t="s">
        <v>930</v>
      </c>
      <c r="S249" s="1188" t="s">
        <v>930</v>
      </c>
      <c r="T249" s="1188" t="s">
        <v>930</v>
      </c>
      <c r="U249" s="1188" t="s">
        <v>930</v>
      </c>
      <c r="V249" s="1188" t="s">
        <v>930</v>
      </c>
      <c r="W249" s="1188" t="s">
        <v>31</v>
      </c>
      <c r="X249" s="1188" t="s">
        <v>31</v>
      </c>
      <c r="Y249" s="1188" t="s">
        <v>31</v>
      </c>
      <c r="Z249" s="1188" t="s">
        <v>930</v>
      </c>
      <c r="AA249" s="1188" t="s">
        <v>930</v>
      </c>
      <c r="AB249" s="1188" t="s">
        <v>930</v>
      </c>
      <c r="AC249" s="1188" t="s">
        <v>31</v>
      </c>
      <c r="AD249" s="1188" t="s">
        <v>930</v>
      </c>
      <c r="AE249" s="1188" t="s">
        <v>930</v>
      </c>
      <c r="AF249" s="1188" t="s">
        <v>930</v>
      </c>
      <c r="AG249" s="1188" t="s">
        <v>930</v>
      </c>
      <c r="AH249" s="1188" t="s">
        <v>31</v>
      </c>
      <c r="AI249" s="1188" t="s">
        <v>31</v>
      </c>
      <c r="AJ249" s="1188" t="s">
        <v>930</v>
      </c>
      <c r="AK249" s="1188" t="s">
        <v>930</v>
      </c>
      <c r="AL249" s="1188" t="s">
        <v>930</v>
      </c>
      <c r="AM249" s="1188" t="s">
        <v>31</v>
      </c>
      <c r="AN249" s="1188" t="s">
        <v>930</v>
      </c>
      <c r="AO249" s="1188" t="s">
        <v>930</v>
      </c>
      <c r="AP249" s="1188" t="s">
        <v>930</v>
      </c>
      <c r="AQ249" s="1188" t="s">
        <v>31</v>
      </c>
      <c r="AR249" s="1188" t="s">
        <v>930</v>
      </c>
      <c r="AS249" s="1188" t="s">
        <v>930</v>
      </c>
      <c r="AT249" s="1188" t="s">
        <v>930</v>
      </c>
      <c r="AU249" s="1188" t="s">
        <v>930</v>
      </c>
      <c r="AV249" s="1188" t="s">
        <v>930</v>
      </c>
      <c r="AW249" s="1188" t="s">
        <v>930</v>
      </c>
      <c r="AX249" s="1188" t="s">
        <v>930</v>
      </c>
      <c r="AY249" s="1188" t="s">
        <v>930</v>
      </c>
      <c r="AZ249" s="1188" t="s">
        <v>930</v>
      </c>
      <c r="BA249" s="1188" t="s">
        <v>930</v>
      </c>
      <c r="BB249" s="1188" t="s">
        <v>930</v>
      </c>
      <c r="BC249" s="1188" t="s">
        <v>930</v>
      </c>
      <c r="BD249" s="1188" t="s">
        <v>930</v>
      </c>
      <c r="BE249" s="1188" t="s">
        <v>31</v>
      </c>
      <c r="BF249" s="1188" t="s">
        <v>930</v>
      </c>
      <c r="BG249" s="1188" t="s">
        <v>930</v>
      </c>
      <c r="BH249" s="1188" t="s">
        <v>31</v>
      </c>
      <c r="BI249" s="1188" t="s">
        <v>930</v>
      </c>
      <c r="BJ249" s="1188" t="s">
        <v>930</v>
      </c>
      <c r="BK249" s="1188" t="s">
        <v>930</v>
      </c>
      <c r="BL249" s="1188" t="s">
        <v>930</v>
      </c>
      <c r="BM249" s="1188" t="s">
        <v>930</v>
      </c>
      <c r="BN249" s="1188" t="s">
        <v>31</v>
      </c>
      <c r="BO249" s="1188" t="s">
        <v>930</v>
      </c>
      <c r="BP249" s="1188" t="s">
        <v>930</v>
      </c>
      <c r="BQ249" s="1188" t="s">
        <v>930</v>
      </c>
      <c r="BR249" s="1188" t="s">
        <v>930</v>
      </c>
      <c r="BS249" s="1188" t="s">
        <v>31</v>
      </c>
      <c r="BT249" s="1188" t="s">
        <v>31</v>
      </c>
      <c r="BU249" s="1188" t="s">
        <v>930</v>
      </c>
      <c r="BV249" s="1188" t="s">
        <v>930</v>
      </c>
      <c r="BW249" s="1188" t="s">
        <v>930</v>
      </c>
      <c r="BX249" s="1188" t="s">
        <v>930</v>
      </c>
      <c r="BY249" s="1188" t="s">
        <v>31</v>
      </c>
      <c r="BZ249" s="1188" t="s">
        <v>31</v>
      </c>
      <c r="CA249" s="1188" t="s">
        <v>930</v>
      </c>
      <c r="CB249" s="1188" t="s">
        <v>31</v>
      </c>
    </row>
    <row r="250" spans="1:80" x14ac:dyDescent="0.3">
      <c r="B250" s="1187">
        <v>537</v>
      </c>
      <c r="C250" s="1163"/>
      <c r="E250" s="1188" t="s">
        <v>52</v>
      </c>
      <c r="F250" s="1188" t="s">
        <v>52</v>
      </c>
      <c r="G250" s="1188" t="s">
        <v>706</v>
      </c>
      <c r="H250" s="1188" t="s">
        <v>51</v>
      </c>
      <c r="I250" s="1188" t="s">
        <v>51</v>
      </c>
      <c r="J250" s="1188" t="s">
        <v>52</v>
      </c>
      <c r="K250" s="1188" t="s">
        <v>52</v>
      </c>
      <c r="L250" s="1188" t="s">
        <v>52</v>
      </c>
      <c r="M250" s="1188" t="s">
        <v>51</v>
      </c>
      <c r="N250" s="1188" t="s">
        <v>52</v>
      </c>
      <c r="O250" s="1188" t="s">
        <v>52</v>
      </c>
      <c r="P250" s="1188" t="s">
        <v>52</v>
      </c>
      <c r="Q250" s="1188" t="s">
        <v>52</v>
      </c>
      <c r="R250" s="1188" t="s">
        <v>51</v>
      </c>
      <c r="S250" s="1188" t="s">
        <v>52</v>
      </c>
      <c r="T250" s="1188" t="s">
        <v>52</v>
      </c>
      <c r="U250" s="1188" t="s">
        <v>706</v>
      </c>
      <c r="V250" s="1188" t="s">
        <v>52</v>
      </c>
      <c r="W250" s="1188" t="s">
        <v>52</v>
      </c>
      <c r="X250" s="1188" t="s">
        <v>52</v>
      </c>
      <c r="Y250" s="1188" t="s">
        <v>51</v>
      </c>
      <c r="Z250" s="1188" t="s">
        <v>51</v>
      </c>
      <c r="AA250" s="1188" t="s">
        <v>51</v>
      </c>
      <c r="AB250" s="1188" t="s">
        <v>52</v>
      </c>
      <c r="AC250" s="1188" t="s">
        <v>52</v>
      </c>
      <c r="AD250" s="1188" t="s">
        <v>51</v>
      </c>
      <c r="AE250" s="1188" t="s">
        <v>52</v>
      </c>
      <c r="AF250" s="1188" t="s">
        <v>52</v>
      </c>
      <c r="AG250" s="1188" t="s">
        <v>52</v>
      </c>
      <c r="AH250" s="1188" t="s">
        <v>52</v>
      </c>
      <c r="AI250" s="1188" t="s">
        <v>52</v>
      </c>
      <c r="AJ250" s="1188" t="s">
        <v>52</v>
      </c>
      <c r="AK250" s="1188" t="s">
        <v>52</v>
      </c>
      <c r="AL250" s="1188" t="s">
        <v>51</v>
      </c>
      <c r="AM250" s="1188" t="s">
        <v>52</v>
      </c>
      <c r="AN250" s="1188" t="s">
        <v>52</v>
      </c>
      <c r="AO250" s="1188" t="s">
        <v>51</v>
      </c>
      <c r="AP250" s="1188" t="s">
        <v>52</v>
      </c>
      <c r="AQ250" s="1188" t="s">
        <v>52</v>
      </c>
      <c r="AR250" s="1188" t="s">
        <v>51</v>
      </c>
      <c r="AS250" s="1188" t="s">
        <v>52</v>
      </c>
      <c r="AT250" s="1188" t="s">
        <v>51</v>
      </c>
      <c r="AU250" s="1188" t="s">
        <v>52</v>
      </c>
      <c r="AV250" s="1188" t="s">
        <v>52</v>
      </c>
      <c r="AW250" s="1188" t="s">
        <v>52</v>
      </c>
      <c r="AX250" s="1188" t="s">
        <v>52</v>
      </c>
      <c r="AY250" s="1188" t="s">
        <v>52</v>
      </c>
      <c r="AZ250" s="1188" t="s">
        <v>51</v>
      </c>
      <c r="BA250" s="1188" t="s">
        <v>52</v>
      </c>
      <c r="BB250" s="1188" t="s">
        <v>51</v>
      </c>
      <c r="BC250" s="1188" t="s">
        <v>51</v>
      </c>
      <c r="BD250" s="1188" t="s">
        <v>706</v>
      </c>
      <c r="BE250" s="1188" t="s">
        <v>52</v>
      </c>
      <c r="BF250" s="1188" t="s">
        <v>51</v>
      </c>
      <c r="BG250" s="1188" t="s">
        <v>706</v>
      </c>
      <c r="BH250" s="1188" t="s">
        <v>52</v>
      </c>
      <c r="BI250" s="1188" t="s">
        <v>52</v>
      </c>
      <c r="BJ250" s="1188" t="s">
        <v>52</v>
      </c>
      <c r="BK250" s="1188" t="s">
        <v>52</v>
      </c>
      <c r="BL250" s="1188" t="s">
        <v>51</v>
      </c>
      <c r="BM250" s="1188" t="s">
        <v>52</v>
      </c>
      <c r="BN250" s="1188" t="s">
        <v>52</v>
      </c>
      <c r="BO250" s="1188" t="s">
        <v>51</v>
      </c>
      <c r="BP250" s="1188" t="s">
        <v>51</v>
      </c>
      <c r="BQ250" s="1188" t="s">
        <v>51</v>
      </c>
      <c r="BR250" s="1188" t="s">
        <v>52</v>
      </c>
      <c r="BS250" s="1188" t="s">
        <v>52</v>
      </c>
      <c r="BT250" s="1188" t="s">
        <v>52</v>
      </c>
      <c r="BU250" s="1188" t="s">
        <v>52</v>
      </c>
      <c r="BV250" s="1188" t="s">
        <v>51</v>
      </c>
      <c r="BW250" s="1188" t="s">
        <v>52</v>
      </c>
      <c r="BX250" s="1188" t="s">
        <v>52</v>
      </c>
      <c r="BY250" s="1188" t="s">
        <v>52</v>
      </c>
      <c r="BZ250" s="1188" t="s">
        <v>52</v>
      </c>
      <c r="CA250" s="1188" t="s">
        <v>52</v>
      </c>
      <c r="CB250" s="1188" t="s">
        <v>52</v>
      </c>
    </row>
    <row r="251" spans="1:80" x14ac:dyDescent="0.3">
      <c r="A251" s="1190"/>
      <c r="B251" s="1187">
        <v>538</v>
      </c>
      <c r="C251" s="1163"/>
      <c r="E251" s="1188" t="s">
        <v>52</v>
      </c>
      <c r="F251" s="1188" t="s">
        <v>52</v>
      </c>
      <c r="G251" s="1188" t="s">
        <v>706</v>
      </c>
      <c r="H251" s="1188" t="s">
        <v>51</v>
      </c>
      <c r="I251" s="1188" t="s">
        <v>52</v>
      </c>
      <c r="J251" s="1188" t="s">
        <v>51</v>
      </c>
      <c r="K251" s="1188" t="s">
        <v>52</v>
      </c>
      <c r="L251" s="1188" t="s">
        <v>52</v>
      </c>
      <c r="M251" s="1188" t="s">
        <v>52</v>
      </c>
      <c r="N251" s="1188" t="s">
        <v>52</v>
      </c>
      <c r="O251" s="1188" t="s">
        <v>52</v>
      </c>
      <c r="P251" s="1188" t="s">
        <v>52</v>
      </c>
      <c r="Q251" s="1188" t="s">
        <v>52</v>
      </c>
      <c r="R251" s="1188" t="s">
        <v>51</v>
      </c>
      <c r="S251" s="1188" t="s">
        <v>52</v>
      </c>
      <c r="T251" s="1188" t="s">
        <v>52</v>
      </c>
      <c r="U251" s="1188" t="s">
        <v>706</v>
      </c>
      <c r="V251" s="1188" t="s">
        <v>51</v>
      </c>
      <c r="W251" s="1188" t="s">
        <v>52</v>
      </c>
      <c r="X251" s="1188" t="s">
        <v>52</v>
      </c>
      <c r="Y251" s="1188" t="s">
        <v>51</v>
      </c>
      <c r="Z251" s="1188" t="s">
        <v>51</v>
      </c>
      <c r="AA251" s="1188" t="s">
        <v>52</v>
      </c>
      <c r="AB251" s="1188" t="s">
        <v>52</v>
      </c>
      <c r="AC251" s="1188" t="s">
        <v>52</v>
      </c>
      <c r="AD251" s="1188" t="s">
        <v>52</v>
      </c>
      <c r="AE251" s="1188" t="s">
        <v>52</v>
      </c>
      <c r="AF251" s="1188" t="s">
        <v>52</v>
      </c>
      <c r="AG251" s="1188" t="s">
        <v>51</v>
      </c>
      <c r="AH251" s="1188" t="s">
        <v>52</v>
      </c>
      <c r="AI251" s="1188" t="s">
        <v>52</v>
      </c>
      <c r="AJ251" s="1188" t="s">
        <v>51</v>
      </c>
      <c r="AK251" s="1188" t="s">
        <v>52</v>
      </c>
      <c r="AL251" s="1188" t="s">
        <v>52</v>
      </c>
      <c r="AM251" s="1188" t="s">
        <v>52</v>
      </c>
      <c r="AN251" s="1188" t="s">
        <v>52</v>
      </c>
      <c r="AO251" s="1188" t="s">
        <v>52</v>
      </c>
      <c r="AP251" s="1188" t="s">
        <v>52</v>
      </c>
      <c r="AQ251" s="1188" t="s">
        <v>52</v>
      </c>
      <c r="AR251" s="1188" t="s">
        <v>52</v>
      </c>
      <c r="AS251" s="1188" t="s">
        <v>52</v>
      </c>
      <c r="AT251" s="1188" t="s">
        <v>51</v>
      </c>
      <c r="AU251" s="1188" t="s">
        <v>51</v>
      </c>
      <c r="AV251" s="1188" t="s">
        <v>52</v>
      </c>
      <c r="AW251" s="1188" t="s">
        <v>52</v>
      </c>
      <c r="AX251" s="1188" t="s">
        <v>52</v>
      </c>
      <c r="AY251" s="1188" t="s">
        <v>52</v>
      </c>
      <c r="AZ251" s="1188" t="s">
        <v>51</v>
      </c>
      <c r="BA251" s="1188" t="s">
        <v>52</v>
      </c>
      <c r="BB251" s="1188" t="s">
        <v>51</v>
      </c>
      <c r="BC251" s="1188" t="s">
        <v>51</v>
      </c>
      <c r="BD251" s="1188" t="s">
        <v>706</v>
      </c>
      <c r="BE251" s="1188" t="s">
        <v>52</v>
      </c>
      <c r="BF251" s="1188" t="s">
        <v>52</v>
      </c>
      <c r="BG251" s="1188" t="s">
        <v>706</v>
      </c>
      <c r="BH251" s="1188" t="s">
        <v>52</v>
      </c>
      <c r="BI251" s="1188" t="s">
        <v>52</v>
      </c>
      <c r="BJ251" s="1188" t="s">
        <v>52</v>
      </c>
      <c r="BK251" s="1188" t="s">
        <v>52</v>
      </c>
      <c r="BL251" s="1188" t="s">
        <v>52</v>
      </c>
      <c r="BM251" s="1188" t="s">
        <v>52</v>
      </c>
      <c r="BN251" s="1188" t="s">
        <v>52</v>
      </c>
      <c r="BO251" s="1188" t="s">
        <v>51</v>
      </c>
      <c r="BP251" s="1188" t="s">
        <v>51</v>
      </c>
      <c r="BQ251" s="1188" t="s">
        <v>51</v>
      </c>
      <c r="BR251" s="1188" t="s">
        <v>52</v>
      </c>
      <c r="BS251" s="1188" t="s">
        <v>52</v>
      </c>
      <c r="BT251" s="1188" t="s">
        <v>52</v>
      </c>
      <c r="BU251" s="1188" t="s">
        <v>52</v>
      </c>
      <c r="BV251" s="1188" t="s">
        <v>51</v>
      </c>
      <c r="BW251" s="1188" t="s">
        <v>52</v>
      </c>
      <c r="BX251" s="1188" t="s">
        <v>52</v>
      </c>
      <c r="BY251" s="1188" t="s">
        <v>52</v>
      </c>
      <c r="BZ251" s="1188" t="s">
        <v>52</v>
      </c>
      <c r="CA251" s="1188" t="s">
        <v>52</v>
      </c>
      <c r="CB251" s="1188" t="s">
        <v>52</v>
      </c>
    </row>
    <row r="252" spans="1:80" s="1156" customFormat="1" x14ac:dyDescent="0.3">
      <c r="A252" s="1161">
        <v>591</v>
      </c>
      <c r="B252" s="1191">
        <v>591</v>
      </c>
      <c r="C252" s="1192" t="s">
        <v>610</v>
      </c>
      <c r="D252" s="1154"/>
      <c r="E252" s="1188">
        <v>0</v>
      </c>
      <c r="F252" s="1189">
        <v>320251</v>
      </c>
      <c r="G252" s="1189">
        <v>0</v>
      </c>
      <c r="H252" s="1189">
        <v>32146496</v>
      </c>
      <c r="I252" s="1189">
        <v>2911783</v>
      </c>
      <c r="J252" s="1189">
        <v>225330</v>
      </c>
      <c r="K252" s="1189">
        <v>884575</v>
      </c>
      <c r="L252" s="1160">
        <v>901454</v>
      </c>
      <c r="M252" s="1160">
        <v>33046271</v>
      </c>
      <c r="N252" s="1160">
        <v>0</v>
      </c>
      <c r="O252" s="1160">
        <v>685233</v>
      </c>
      <c r="P252" s="1160">
        <v>1451809</v>
      </c>
      <c r="Q252" s="1160">
        <v>1626276</v>
      </c>
      <c r="R252" s="1160">
        <v>3900433</v>
      </c>
      <c r="S252" s="1160">
        <v>5979465</v>
      </c>
      <c r="T252" s="1160">
        <v>22130372</v>
      </c>
      <c r="U252" s="1160">
        <v>0</v>
      </c>
      <c r="V252" s="1160">
        <v>60361268</v>
      </c>
      <c r="W252" s="1160">
        <v>0</v>
      </c>
      <c r="X252" s="1160">
        <v>0</v>
      </c>
      <c r="Y252" s="1160">
        <v>9633</v>
      </c>
      <c r="Z252" s="1160">
        <v>1949648</v>
      </c>
      <c r="AA252" s="1160">
        <v>4726207</v>
      </c>
      <c r="AB252" s="1160">
        <v>1811048</v>
      </c>
      <c r="AC252" s="1160">
        <v>0</v>
      </c>
      <c r="AD252" s="1160">
        <v>104522</v>
      </c>
      <c r="AE252" s="1160">
        <v>1115673</v>
      </c>
      <c r="AF252" s="1160">
        <v>7631636</v>
      </c>
      <c r="AG252" s="1160">
        <v>74225</v>
      </c>
      <c r="AH252" s="1160">
        <v>0</v>
      </c>
      <c r="AI252" s="1160">
        <v>0</v>
      </c>
      <c r="AJ252" s="1160">
        <v>490889</v>
      </c>
      <c r="AK252" s="1160">
        <v>22372995</v>
      </c>
      <c r="AL252" s="1160">
        <v>202480</v>
      </c>
      <c r="AM252" s="1160">
        <v>0</v>
      </c>
      <c r="AN252" s="1160">
        <v>5537609</v>
      </c>
      <c r="AO252" s="1160">
        <v>8300922</v>
      </c>
      <c r="AP252" s="1160">
        <v>125883</v>
      </c>
      <c r="AQ252" s="1160">
        <v>0</v>
      </c>
      <c r="AR252" s="1160">
        <v>66603646</v>
      </c>
      <c r="AS252" s="1160">
        <v>1213977</v>
      </c>
      <c r="AT252" s="1160">
        <v>405809</v>
      </c>
      <c r="AU252" s="1160">
        <v>2380042</v>
      </c>
      <c r="AV252" s="1160">
        <v>13472148</v>
      </c>
      <c r="AW252" s="1160">
        <v>350372</v>
      </c>
      <c r="AX252" s="1160">
        <v>598345</v>
      </c>
      <c r="AY252" s="1160">
        <v>1181011</v>
      </c>
      <c r="AZ252" s="1160">
        <v>2077526</v>
      </c>
      <c r="BA252" s="1160">
        <v>9650203</v>
      </c>
      <c r="BB252" s="1160">
        <v>102357</v>
      </c>
      <c r="BC252" s="1160">
        <v>1313775</v>
      </c>
      <c r="BD252" s="1160">
        <v>0</v>
      </c>
      <c r="BE252" s="1160">
        <v>0</v>
      </c>
      <c r="BF252" s="1160">
        <v>42333670</v>
      </c>
      <c r="BG252" s="1160">
        <v>0</v>
      </c>
      <c r="BH252" s="1160">
        <v>0</v>
      </c>
      <c r="BI252" s="1160">
        <v>1435080</v>
      </c>
      <c r="BJ252" s="1160">
        <v>893146</v>
      </c>
      <c r="BK252" s="1160">
        <v>607954</v>
      </c>
      <c r="BL252" s="1160">
        <v>9491340</v>
      </c>
      <c r="BM252" s="1160">
        <v>1817940</v>
      </c>
      <c r="BN252" s="1160">
        <v>0</v>
      </c>
      <c r="BO252" s="1160">
        <v>3978631</v>
      </c>
      <c r="BP252" s="1160">
        <v>971216</v>
      </c>
      <c r="BQ252" s="1160">
        <v>840373</v>
      </c>
      <c r="BR252" s="1160">
        <v>1326355</v>
      </c>
      <c r="BS252" s="1160">
        <v>0</v>
      </c>
      <c r="BT252" s="1160">
        <v>0</v>
      </c>
      <c r="BU252" s="1160">
        <v>975277</v>
      </c>
      <c r="BV252" s="1160">
        <v>2655874</v>
      </c>
      <c r="BW252" s="1160">
        <v>590683</v>
      </c>
      <c r="BX252" s="1160">
        <v>1359151</v>
      </c>
      <c r="BY252" s="1160">
        <v>0</v>
      </c>
      <c r="BZ252" s="1160">
        <v>0</v>
      </c>
      <c r="CA252" s="1160">
        <v>7298336</v>
      </c>
      <c r="CB252" s="1160">
        <v>0</v>
      </c>
    </row>
    <row r="253" spans="1:80" s="1156" customFormat="1" x14ac:dyDescent="0.3">
      <c r="A253" s="1161">
        <v>592</v>
      </c>
      <c r="B253" s="1191">
        <v>592</v>
      </c>
      <c r="C253" s="1192" t="s">
        <v>611</v>
      </c>
      <c r="D253" s="1154"/>
      <c r="E253" s="1188">
        <v>0</v>
      </c>
      <c r="F253" s="1189">
        <v>1207835</v>
      </c>
      <c r="G253" s="1189">
        <v>0</v>
      </c>
      <c r="H253" s="1189">
        <v>2731653</v>
      </c>
      <c r="I253" s="1189">
        <v>1368771</v>
      </c>
      <c r="J253" s="1189">
        <v>-27479</v>
      </c>
      <c r="K253" s="1189">
        <v>319749</v>
      </c>
      <c r="L253" s="1160">
        <v>218265</v>
      </c>
      <c r="M253" s="1160">
        <v>1644452</v>
      </c>
      <c r="N253" s="1160">
        <v>0</v>
      </c>
      <c r="O253" s="1160">
        <v>33192</v>
      </c>
      <c r="P253" s="1160">
        <v>-148790</v>
      </c>
      <c r="Q253" s="1160">
        <v>220545</v>
      </c>
      <c r="R253" s="1160">
        <v>1184745</v>
      </c>
      <c r="S253" s="1160">
        <v>378496</v>
      </c>
      <c r="T253" s="1160">
        <v>1214224</v>
      </c>
      <c r="U253" s="1160">
        <v>0</v>
      </c>
      <c r="V253" s="1160">
        <v>10621102</v>
      </c>
      <c r="W253" s="1160">
        <v>0</v>
      </c>
      <c r="X253" s="1160">
        <v>0</v>
      </c>
      <c r="Y253" s="1160">
        <v>982</v>
      </c>
      <c r="Z253" s="1160">
        <v>289604</v>
      </c>
      <c r="AA253" s="1160">
        <v>139773</v>
      </c>
      <c r="AB253" s="1160">
        <v>-240211</v>
      </c>
      <c r="AC253" s="1160">
        <v>0</v>
      </c>
      <c r="AD253" s="1160">
        <v>4478</v>
      </c>
      <c r="AE253" s="1160">
        <v>-101838</v>
      </c>
      <c r="AF253" s="1160">
        <v>752735</v>
      </c>
      <c r="AG253" s="1160">
        <v>-28212</v>
      </c>
      <c r="AH253" s="1160">
        <v>0</v>
      </c>
      <c r="AI253" s="1160">
        <v>0</v>
      </c>
      <c r="AJ253" s="1160">
        <v>-23458</v>
      </c>
      <c r="AK253" s="1160">
        <v>2243864</v>
      </c>
      <c r="AL253" s="1160">
        <v>-53274</v>
      </c>
      <c r="AM253" s="1160">
        <v>0</v>
      </c>
      <c r="AN253" s="1160">
        <v>3063295</v>
      </c>
      <c r="AO253" s="1160">
        <v>1428093</v>
      </c>
      <c r="AP253" s="1160">
        <v>715779</v>
      </c>
      <c r="AQ253" s="1160">
        <v>0</v>
      </c>
      <c r="AR253" s="1160">
        <v>8500356</v>
      </c>
      <c r="AS253" s="1160">
        <v>1929</v>
      </c>
      <c r="AT253" s="1160">
        <v>-94826</v>
      </c>
      <c r="AU253" s="1160">
        <v>379073</v>
      </c>
      <c r="AV253" s="1160">
        <v>1775351</v>
      </c>
      <c r="AW253" s="1160">
        <v>50432</v>
      </c>
      <c r="AX253" s="1160">
        <v>338783</v>
      </c>
      <c r="AY253" s="1160">
        <v>609194</v>
      </c>
      <c r="AZ253" s="1160">
        <v>-88837</v>
      </c>
      <c r="BA253" s="1160">
        <v>-199473</v>
      </c>
      <c r="BB253" s="1160">
        <v>-14536</v>
      </c>
      <c r="BC253" s="1160">
        <v>3398</v>
      </c>
      <c r="BD253" s="1160">
        <v>0</v>
      </c>
      <c r="BE253" s="1160">
        <v>0</v>
      </c>
      <c r="BF253" s="1160">
        <v>2151881</v>
      </c>
      <c r="BG253" s="1160">
        <v>0</v>
      </c>
      <c r="BH253" s="1160">
        <v>0</v>
      </c>
      <c r="BI253" s="1160">
        <v>217225</v>
      </c>
      <c r="BJ253" s="1160">
        <v>131142</v>
      </c>
      <c r="BK253" s="1160">
        <v>-236196</v>
      </c>
      <c r="BL253" s="1160">
        <v>927449</v>
      </c>
      <c r="BM253" s="1160">
        <v>223201</v>
      </c>
      <c r="BN253" s="1160">
        <v>0</v>
      </c>
      <c r="BO253" s="1160">
        <v>-364243</v>
      </c>
      <c r="BP253" s="1160">
        <v>247720</v>
      </c>
      <c r="BQ253" s="1160">
        <v>-136759</v>
      </c>
      <c r="BR253" s="1160">
        <v>-1475913</v>
      </c>
      <c r="BS253" s="1160">
        <v>0</v>
      </c>
      <c r="BT253" s="1160">
        <v>0</v>
      </c>
      <c r="BU253" s="1160">
        <v>-164984</v>
      </c>
      <c r="BV253" s="1160">
        <v>-21398</v>
      </c>
      <c r="BW253" s="1160">
        <v>866377</v>
      </c>
      <c r="BX253" s="1160">
        <v>-856853</v>
      </c>
      <c r="BY253" s="1160">
        <v>0</v>
      </c>
      <c r="BZ253" s="1160">
        <v>0</v>
      </c>
      <c r="CA253" s="1160">
        <v>5854413</v>
      </c>
      <c r="CB253" s="1160">
        <v>0</v>
      </c>
    </row>
    <row r="254" spans="1:80" s="1156" customFormat="1" x14ac:dyDescent="0.3">
      <c r="A254" s="1154"/>
      <c r="B254" s="1191">
        <v>595</v>
      </c>
      <c r="C254" s="1192" t="s">
        <v>683</v>
      </c>
      <c r="D254" s="1154"/>
      <c r="E254" s="1188"/>
      <c r="F254" s="1189"/>
      <c r="G254" s="1189"/>
      <c r="H254" s="1189"/>
      <c r="I254" s="1189"/>
      <c r="J254" s="1189"/>
      <c r="K254" s="1189"/>
      <c r="L254" s="1160"/>
      <c r="M254" s="1160"/>
      <c r="N254" s="1160"/>
      <c r="O254" s="1160"/>
      <c r="P254" s="1160"/>
      <c r="Q254" s="1160"/>
      <c r="R254" s="1160"/>
      <c r="S254" s="1160"/>
      <c r="T254" s="1160"/>
      <c r="U254" s="1160"/>
      <c r="V254" s="1160"/>
      <c r="W254" s="1160"/>
      <c r="X254" s="1160"/>
      <c r="Y254" s="1160"/>
      <c r="Z254" s="1160"/>
      <c r="AA254" s="1160"/>
      <c r="AB254" s="1160"/>
      <c r="AC254" s="1160"/>
      <c r="AD254" s="1160"/>
      <c r="AE254" s="1160"/>
      <c r="AF254" s="1160"/>
      <c r="AG254" s="1160"/>
      <c r="AH254" s="1160"/>
      <c r="AI254" s="1160"/>
      <c r="AJ254" s="1160"/>
      <c r="AK254" s="1160"/>
      <c r="AL254" s="1160"/>
      <c r="AM254" s="1160"/>
      <c r="AN254" s="1160"/>
      <c r="AO254" s="1160"/>
      <c r="AP254" s="1160"/>
      <c r="AQ254" s="1160"/>
      <c r="AR254" s="1160"/>
      <c r="AS254" s="1160"/>
      <c r="AT254" s="1160"/>
      <c r="AU254" s="1160"/>
      <c r="AV254" s="1160"/>
      <c r="AW254" s="1160"/>
      <c r="AX254" s="1160"/>
      <c r="AY254" s="1160"/>
      <c r="AZ254" s="1160"/>
      <c r="BA254" s="1160"/>
      <c r="BB254" s="1160"/>
      <c r="BC254" s="1160"/>
      <c r="BD254" s="1160"/>
      <c r="BE254" s="1160"/>
      <c r="BF254" s="1160"/>
      <c r="BG254" s="1160"/>
      <c r="BH254" s="1160"/>
      <c r="BI254" s="1160"/>
      <c r="BJ254" s="1160"/>
      <c r="BK254" s="1160"/>
      <c r="BL254" s="1160"/>
      <c r="BM254" s="1160"/>
      <c r="BN254" s="1160"/>
      <c r="BO254" s="1160"/>
      <c r="BP254" s="1160"/>
      <c r="BQ254" s="1160"/>
      <c r="BR254" s="1160"/>
      <c r="BS254" s="1160"/>
      <c r="BT254" s="1160"/>
      <c r="BU254" s="1160"/>
      <c r="BV254" s="1160"/>
      <c r="BW254" s="1160"/>
      <c r="BX254" s="1160"/>
      <c r="BY254" s="1160"/>
      <c r="BZ254" s="1160"/>
      <c r="CA254" s="1160"/>
      <c r="CB254" s="1160"/>
    </row>
    <row r="255" spans="1:80" s="1156" customFormat="1" x14ac:dyDescent="0.3">
      <c r="A255" s="1161">
        <v>596</v>
      </c>
      <c r="B255" s="1191">
        <v>596</v>
      </c>
      <c r="C255" s="1192" t="s">
        <v>617</v>
      </c>
      <c r="D255" s="1154"/>
      <c r="E255" s="1188">
        <v>52</v>
      </c>
      <c r="F255" s="1189">
        <v>0</v>
      </c>
      <c r="G255" s="1189">
        <v>0</v>
      </c>
      <c r="H255" s="1189">
        <v>52</v>
      </c>
      <c r="I255" s="1189">
        <v>52</v>
      </c>
      <c r="J255" s="1189">
        <v>52</v>
      </c>
      <c r="K255" s="1189">
        <v>52</v>
      </c>
      <c r="L255" s="1160">
        <v>52</v>
      </c>
      <c r="M255" s="1160">
        <v>52</v>
      </c>
      <c r="N255" s="1160">
        <v>52</v>
      </c>
      <c r="O255" s="1160">
        <v>52</v>
      </c>
      <c r="P255" s="1160">
        <v>52</v>
      </c>
      <c r="Q255" s="1160">
        <v>52</v>
      </c>
      <c r="R255" s="1160">
        <v>52</v>
      </c>
      <c r="S255" s="1160">
        <v>52</v>
      </c>
      <c r="T255" s="1160">
        <v>52</v>
      </c>
      <c r="U255" s="1160">
        <v>0</v>
      </c>
      <c r="V255" s="1160">
        <v>52</v>
      </c>
      <c r="W255" s="1160">
        <v>0</v>
      </c>
      <c r="X255" s="1160">
        <v>0</v>
      </c>
      <c r="Y255" s="1160">
        <v>52</v>
      </c>
      <c r="Z255" s="1160">
        <v>52</v>
      </c>
      <c r="AA255" s="1160">
        <v>52</v>
      </c>
      <c r="AB255" s="1160">
        <v>52</v>
      </c>
      <c r="AC255" s="1160">
        <v>0</v>
      </c>
      <c r="AD255" s="1160">
        <v>52</v>
      </c>
      <c r="AE255" s="1160">
        <v>52</v>
      </c>
      <c r="AF255" s="1160">
        <v>52</v>
      </c>
      <c r="AG255" s="1160">
        <v>52</v>
      </c>
      <c r="AH255" s="1160">
        <v>0</v>
      </c>
      <c r="AI255" s="1160">
        <v>52</v>
      </c>
      <c r="AJ255" s="1160">
        <v>52</v>
      </c>
      <c r="AK255" s="1160">
        <v>52</v>
      </c>
      <c r="AL255" s="1160">
        <v>52</v>
      </c>
      <c r="AM255" s="1160">
        <v>52</v>
      </c>
      <c r="AN255" s="1160">
        <v>52</v>
      </c>
      <c r="AO255" s="1160">
        <v>52</v>
      </c>
      <c r="AP255" s="1160">
        <v>52</v>
      </c>
      <c r="AQ255" s="1160">
        <v>0</v>
      </c>
      <c r="AR255" s="1160">
        <v>52</v>
      </c>
      <c r="AS255" s="1160">
        <v>52</v>
      </c>
      <c r="AT255" s="1160">
        <v>52</v>
      </c>
      <c r="AU255" s="1160">
        <v>52</v>
      </c>
      <c r="AV255" s="1160">
        <v>52</v>
      </c>
      <c r="AW255" s="1160">
        <v>52</v>
      </c>
      <c r="AX255" s="1160">
        <v>52</v>
      </c>
      <c r="AY255" s="1160">
        <v>52</v>
      </c>
      <c r="AZ255" s="1160">
        <v>52</v>
      </c>
      <c r="BA255" s="1160">
        <v>52</v>
      </c>
      <c r="BB255" s="1160">
        <v>50</v>
      </c>
      <c r="BC255" s="1160">
        <v>52</v>
      </c>
      <c r="BD255" s="1160">
        <v>0</v>
      </c>
      <c r="BE255" s="1160">
        <v>52</v>
      </c>
      <c r="BF255" s="1160">
        <v>52</v>
      </c>
      <c r="BG255" s="1160">
        <v>0</v>
      </c>
      <c r="BH255" s="1160">
        <v>52</v>
      </c>
      <c r="BI255" s="1160">
        <v>52</v>
      </c>
      <c r="BJ255" s="1160">
        <v>52</v>
      </c>
      <c r="BK255" s="1160">
        <v>52</v>
      </c>
      <c r="BL255" s="1160">
        <v>52</v>
      </c>
      <c r="BM255" s="1160">
        <v>52</v>
      </c>
      <c r="BN255" s="1160">
        <v>52</v>
      </c>
      <c r="BO255" s="1160">
        <v>52</v>
      </c>
      <c r="BP255" s="1160">
        <v>52</v>
      </c>
      <c r="BQ255" s="1160">
        <v>52</v>
      </c>
      <c r="BR255" s="1160">
        <v>52</v>
      </c>
      <c r="BS255" s="1160">
        <v>52</v>
      </c>
      <c r="BT255" s="1160">
        <v>52</v>
      </c>
      <c r="BU255" s="1160">
        <v>52</v>
      </c>
      <c r="BV255" s="1160">
        <v>52</v>
      </c>
      <c r="BW255" s="1160">
        <v>52</v>
      </c>
      <c r="BX255" s="1160">
        <v>52</v>
      </c>
      <c r="BY255" s="1160">
        <v>52</v>
      </c>
      <c r="BZ255" s="1160">
        <v>0</v>
      </c>
      <c r="CA255" s="1160">
        <v>52</v>
      </c>
      <c r="CB255" s="1160">
        <v>52</v>
      </c>
    </row>
    <row r="256" spans="1:80" s="1156" customFormat="1" x14ac:dyDescent="0.3">
      <c r="A256" s="1161">
        <v>597</v>
      </c>
      <c r="B256" s="1191">
        <v>597</v>
      </c>
      <c r="C256" s="1192" t="s">
        <v>684</v>
      </c>
      <c r="D256" s="1154"/>
      <c r="E256" s="1188">
        <v>12940</v>
      </c>
      <c r="F256" s="1189">
        <v>412544</v>
      </c>
      <c r="G256" s="1189">
        <v>0</v>
      </c>
      <c r="H256" s="1189">
        <v>1142515</v>
      </c>
      <c r="I256" s="1189">
        <v>207770</v>
      </c>
      <c r="J256" s="1189">
        <v>4207</v>
      </c>
      <c r="K256" s="1189">
        <v>100987</v>
      </c>
      <c r="L256" s="1160">
        <v>2197</v>
      </c>
      <c r="M256" s="1160">
        <v>1327701</v>
      </c>
      <c r="N256" s="1160">
        <v>209</v>
      </c>
      <c r="O256" s="1160">
        <v>10047</v>
      </c>
      <c r="P256" s="1160">
        <v>347</v>
      </c>
      <c r="Q256" s="1160">
        <v>272640</v>
      </c>
      <c r="R256" s="1160">
        <v>588635</v>
      </c>
      <c r="S256" s="1160">
        <v>39419</v>
      </c>
      <c r="T256" s="1160">
        <v>486080</v>
      </c>
      <c r="U256" s="1160">
        <v>0</v>
      </c>
      <c r="V256" s="1160">
        <v>279107</v>
      </c>
      <c r="W256" s="1160">
        <v>1351</v>
      </c>
      <c r="X256" s="1160">
        <v>163269</v>
      </c>
      <c r="Y256" s="1160">
        <v>174334</v>
      </c>
      <c r="Z256" s="1160">
        <v>30308</v>
      </c>
      <c r="AA256" s="1160">
        <v>36867</v>
      </c>
      <c r="AB256" s="1160">
        <v>9874</v>
      </c>
      <c r="AC256" s="1160">
        <v>9113</v>
      </c>
      <c r="AD256" s="1160">
        <v>174</v>
      </c>
      <c r="AE256" s="1160">
        <v>10122</v>
      </c>
      <c r="AF256" s="1160">
        <v>35178</v>
      </c>
      <c r="AG256" s="1160">
        <v>1517</v>
      </c>
      <c r="AH256" s="1160">
        <v>183</v>
      </c>
      <c r="AI256" s="1160">
        <v>0</v>
      </c>
      <c r="AJ256" s="1160">
        <v>31557</v>
      </c>
      <c r="AK256" s="1160">
        <v>175636</v>
      </c>
      <c r="AL256" s="1160">
        <v>9541</v>
      </c>
      <c r="AM256" s="1160">
        <v>1483</v>
      </c>
      <c r="AN256" s="1160">
        <v>391658</v>
      </c>
      <c r="AO256" s="1160">
        <v>190170</v>
      </c>
      <c r="AP256" s="1160">
        <v>171</v>
      </c>
      <c r="AQ256" s="1160">
        <v>119176</v>
      </c>
      <c r="AR256" s="1160">
        <v>948989</v>
      </c>
      <c r="AS256" s="1160">
        <v>20404</v>
      </c>
      <c r="AT256" s="1160">
        <v>5021</v>
      </c>
      <c r="AU256" s="1160">
        <v>43239</v>
      </c>
      <c r="AV256" s="1160">
        <v>305978</v>
      </c>
      <c r="AW256" s="1160">
        <v>3682</v>
      </c>
      <c r="AX256" s="1160">
        <v>5571</v>
      </c>
      <c r="AY256" s="1160">
        <v>26534</v>
      </c>
      <c r="AZ256" s="1160">
        <v>33976</v>
      </c>
      <c r="BA256" s="1160">
        <v>90937</v>
      </c>
      <c r="BB256" s="1160">
        <v>155</v>
      </c>
      <c r="BC256" s="1160">
        <v>15938</v>
      </c>
      <c r="BD256" s="1160">
        <v>0</v>
      </c>
      <c r="BE256" s="1160">
        <v>4899</v>
      </c>
      <c r="BF256" s="1160">
        <v>144092</v>
      </c>
      <c r="BG256" s="1160">
        <v>0</v>
      </c>
      <c r="BH256" s="1160">
        <v>465</v>
      </c>
      <c r="BI256" s="1160">
        <v>35397</v>
      </c>
      <c r="BJ256" s="1160">
        <v>82734</v>
      </c>
      <c r="BK256" s="1160">
        <v>178</v>
      </c>
      <c r="BL256" s="1160">
        <v>0</v>
      </c>
      <c r="BM256" s="1160">
        <v>127606</v>
      </c>
      <c r="BN256" s="1160">
        <v>1105</v>
      </c>
      <c r="BO256" s="1160">
        <v>24388</v>
      </c>
      <c r="BP256" s="1160">
        <v>80237</v>
      </c>
      <c r="BQ256" s="1160">
        <v>5176</v>
      </c>
      <c r="BR256" s="1160">
        <v>23757</v>
      </c>
      <c r="BS256" s="1160">
        <v>11060</v>
      </c>
      <c r="BT256" s="1160">
        <v>234247</v>
      </c>
      <c r="BU256" s="1160">
        <v>0</v>
      </c>
      <c r="BV256" s="1160">
        <v>59179</v>
      </c>
      <c r="BW256" s="1160">
        <v>0</v>
      </c>
      <c r="BX256" s="1160">
        <v>13202</v>
      </c>
      <c r="BY256" s="1160">
        <v>1730</v>
      </c>
      <c r="BZ256" s="1160">
        <v>1418</v>
      </c>
      <c r="CA256" s="1160">
        <v>242315</v>
      </c>
      <c r="CB256" s="1160">
        <v>506</v>
      </c>
    </row>
    <row r="257" spans="1:80" s="1156" customFormat="1" x14ac:dyDescent="0.3">
      <c r="A257" s="1154"/>
      <c r="B257" s="1154"/>
      <c r="C257" s="1193" t="s">
        <v>1184</v>
      </c>
      <c r="D257" s="1154"/>
      <c r="E257" s="1194" t="s">
        <v>930</v>
      </c>
      <c r="F257" s="1189"/>
      <c r="G257" s="1189"/>
      <c r="H257" s="1189"/>
      <c r="I257" s="1189"/>
      <c r="J257" s="1189"/>
      <c r="K257" s="1189"/>
      <c r="L257" s="1160"/>
      <c r="M257" s="1160"/>
      <c r="N257" s="1160"/>
      <c r="O257" s="1160"/>
      <c r="P257" s="1160"/>
      <c r="Q257" s="1160"/>
      <c r="R257" s="1160"/>
      <c r="S257" s="1160"/>
      <c r="T257" s="1160"/>
      <c r="U257" s="1160"/>
      <c r="V257" s="1160"/>
      <c r="W257" s="1160"/>
      <c r="X257" s="1160"/>
      <c r="Y257" s="1160"/>
      <c r="Z257" s="1160"/>
      <c r="AA257" s="1160"/>
      <c r="AB257" s="1160"/>
      <c r="AC257" s="1160"/>
      <c r="AD257" s="1160"/>
      <c r="AE257" s="1160"/>
      <c r="AF257" s="1160"/>
      <c r="AG257" s="1160"/>
      <c r="AH257" s="1160"/>
      <c r="AI257" s="1160"/>
      <c r="AJ257" s="1160"/>
      <c r="AK257" s="1160"/>
      <c r="AL257" s="1160"/>
      <c r="AM257" s="1160"/>
      <c r="AN257" s="1160"/>
      <c r="AO257" s="1160"/>
      <c r="AP257" s="1160"/>
      <c r="AQ257" s="1160"/>
      <c r="AR257" s="1160"/>
      <c r="AS257" s="1160"/>
      <c r="AT257" s="1160"/>
      <c r="AU257" s="1160"/>
      <c r="AV257" s="1160"/>
      <c r="AW257" s="1160"/>
      <c r="AX257" s="1160"/>
      <c r="AY257" s="1160"/>
      <c r="AZ257" s="1160"/>
      <c r="BA257" s="1160"/>
      <c r="BB257" s="1160"/>
      <c r="BC257" s="1160"/>
      <c r="BD257" s="1160"/>
      <c r="BE257" s="1160"/>
      <c r="BF257" s="1160"/>
      <c r="BG257" s="1160"/>
      <c r="BH257" s="1160"/>
      <c r="BI257" s="1160"/>
      <c r="BJ257" s="1160"/>
      <c r="BK257" s="1160"/>
      <c r="BL257" s="1160"/>
      <c r="BM257" s="1160"/>
      <c r="BN257" s="1160"/>
      <c r="BO257" s="1160"/>
      <c r="BP257" s="1160"/>
      <c r="BQ257" s="1160"/>
      <c r="BR257" s="1160"/>
      <c r="BS257" s="1160"/>
      <c r="BT257" s="1160"/>
      <c r="BU257" s="1160"/>
      <c r="BV257" s="1160"/>
      <c r="BW257" s="1160"/>
      <c r="BX257" s="1160"/>
      <c r="BY257" s="1160"/>
      <c r="BZ257" s="1160"/>
      <c r="CA257" s="1160"/>
      <c r="CB257" s="1160"/>
    </row>
    <row r="258" spans="1:80" s="1156" customFormat="1" ht="43.2" x14ac:dyDescent="0.3">
      <c r="A258" s="1161">
        <v>598</v>
      </c>
      <c r="B258" s="1161">
        <v>598</v>
      </c>
      <c r="C258" s="1195" t="s">
        <v>678</v>
      </c>
      <c r="D258" s="1154"/>
      <c r="E258" s="1188">
        <v>4956</v>
      </c>
      <c r="F258" s="1189">
        <v>0</v>
      </c>
      <c r="G258" s="1189">
        <v>0</v>
      </c>
      <c r="H258" s="1189">
        <v>278891</v>
      </c>
      <c r="I258" s="1189">
        <v>0</v>
      </c>
      <c r="J258" s="1189">
        <v>0</v>
      </c>
      <c r="K258" s="1189">
        <v>15070</v>
      </c>
      <c r="L258" s="1160">
        <v>3120</v>
      </c>
      <c r="M258" s="1160">
        <v>463158</v>
      </c>
      <c r="N258" s="1160">
        <v>0</v>
      </c>
      <c r="O258" s="1160">
        <v>0</v>
      </c>
      <c r="P258" s="1160">
        <v>0</v>
      </c>
      <c r="Q258" s="1160">
        <v>154922</v>
      </c>
      <c r="R258" s="1160">
        <v>48631</v>
      </c>
      <c r="S258" s="1160">
        <v>0</v>
      </c>
      <c r="T258" s="1160">
        <v>34923</v>
      </c>
      <c r="U258" s="1160">
        <v>0</v>
      </c>
      <c r="V258" s="1160">
        <v>245628</v>
      </c>
      <c r="W258" s="1160">
        <v>0</v>
      </c>
      <c r="X258" s="1160">
        <v>54719</v>
      </c>
      <c r="Y258" s="1160">
        <v>59264</v>
      </c>
      <c r="Z258" s="1160">
        <v>20758</v>
      </c>
      <c r="AA258" s="1160">
        <v>0</v>
      </c>
      <c r="AB258" s="1160">
        <v>18225</v>
      </c>
      <c r="AC258" s="1160">
        <v>0</v>
      </c>
      <c r="AD258" s="1160">
        <v>0</v>
      </c>
      <c r="AE258" s="1160">
        <v>0</v>
      </c>
      <c r="AF258" s="1160">
        <v>6994</v>
      </c>
      <c r="AG258" s="1160">
        <v>0</v>
      </c>
      <c r="AH258" s="1160">
        <v>0</v>
      </c>
      <c r="AI258" s="1160">
        <v>0</v>
      </c>
      <c r="AJ258" s="1160">
        <v>0</v>
      </c>
      <c r="AK258" s="1160">
        <v>58796</v>
      </c>
      <c r="AL258" s="1160">
        <v>0</v>
      </c>
      <c r="AM258" s="1160">
        <v>0</v>
      </c>
      <c r="AN258" s="1160">
        <v>0</v>
      </c>
      <c r="AO258" s="1160">
        <v>88796</v>
      </c>
      <c r="AP258" s="1160">
        <v>0</v>
      </c>
      <c r="AQ258" s="1160">
        <v>0</v>
      </c>
      <c r="AR258" s="1160">
        <v>167498</v>
      </c>
      <c r="AS258" s="1160">
        <v>10503</v>
      </c>
      <c r="AT258" s="1160">
        <v>0</v>
      </c>
      <c r="AU258" s="1160">
        <v>0</v>
      </c>
      <c r="AV258" s="1160">
        <v>82013</v>
      </c>
      <c r="AW258" s="1160">
        <v>0</v>
      </c>
      <c r="AX258" s="1160">
        <v>4095</v>
      </c>
      <c r="AY258" s="1160">
        <v>0</v>
      </c>
      <c r="AZ258" s="1160">
        <v>16935</v>
      </c>
      <c r="BA258" s="1160">
        <v>16250</v>
      </c>
      <c r="BB258" s="1160">
        <v>0</v>
      </c>
      <c r="BC258" s="1160">
        <v>22644</v>
      </c>
      <c r="BD258" s="1160">
        <v>0</v>
      </c>
      <c r="BE258" s="1160">
        <v>0</v>
      </c>
      <c r="BF258" s="1160">
        <v>222811</v>
      </c>
      <c r="BG258" s="1160">
        <v>0</v>
      </c>
      <c r="BH258" s="1160">
        <v>0</v>
      </c>
      <c r="BI258" s="1160">
        <v>21458</v>
      </c>
      <c r="BJ258" s="1160">
        <v>30429</v>
      </c>
      <c r="BK258" s="1160">
        <v>0</v>
      </c>
      <c r="BL258" s="1160">
        <v>9228</v>
      </c>
      <c r="BM258" s="1160">
        <v>15779</v>
      </c>
      <c r="BN258" s="1160">
        <v>0</v>
      </c>
      <c r="BO258" s="1160">
        <v>53234</v>
      </c>
      <c r="BP258" s="1160">
        <v>0</v>
      </c>
      <c r="BQ258" s="1160">
        <v>0</v>
      </c>
      <c r="BR258" s="1160">
        <v>0</v>
      </c>
      <c r="BS258" s="1160">
        <v>0</v>
      </c>
      <c r="BT258" s="1160">
        <v>97803</v>
      </c>
      <c r="BU258" s="1160">
        <v>12379</v>
      </c>
      <c r="BV258" s="1160">
        <v>13197</v>
      </c>
      <c r="BW258" s="1160">
        <v>0</v>
      </c>
      <c r="BX258" s="1160">
        <v>0</v>
      </c>
      <c r="BY258" s="1160">
        <v>0</v>
      </c>
      <c r="BZ258" s="1160">
        <v>0</v>
      </c>
      <c r="CA258" s="1160">
        <v>0</v>
      </c>
      <c r="CB258" s="1160">
        <v>0</v>
      </c>
    </row>
    <row r="259" spans="1:80" s="1156" customFormat="1" ht="28.8" x14ac:dyDescent="0.3">
      <c r="A259" s="1161">
        <v>599</v>
      </c>
      <c r="B259" s="1161">
        <v>599</v>
      </c>
      <c r="C259" s="1195" t="s">
        <v>679</v>
      </c>
      <c r="D259" s="1154"/>
      <c r="E259" s="1188">
        <v>43948</v>
      </c>
      <c r="F259" s="1189">
        <v>0</v>
      </c>
      <c r="G259" s="1189">
        <v>0</v>
      </c>
      <c r="H259" s="1189">
        <v>3767776</v>
      </c>
      <c r="I259" s="1189">
        <v>0</v>
      </c>
      <c r="J259" s="1189">
        <v>0</v>
      </c>
      <c r="K259" s="1189">
        <v>233420</v>
      </c>
      <c r="L259" s="1160">
        <v>157285</v>
      </c>
      <c r="M259" s="1160">
        <v>7216302</v>
      </c>
      <c r="N259" s="1160">
        <v>0</v>
      </c>
      <c r="O259" s="1160">
        <v>112985</v>
      </c>
      <c r="P259" s="1160">
        <v>99022</v>
      </c>
      <c r="Q259" s="1160">
        <v>2978861</v>
      </c>
      <c r="R259" s="1160">
        <v>1175808</v>
      </c>
      <c r="S259" s="1160">
        <v>490053</v>
      </c>
      <c r="T259" s="1160">
        <v>1023349</v>
      </c>
      <c r="U259" s="1160">
        <v>0</v>
      </c>
      <c r="V259" s="1160">
        <v>3618572</v>
      </c>
      <c r="W259" s="1160">
        <v>0</v>
      </c>
      <c r="X259" s="1160">
        <v>809340</v>
      </c>
      <c r="Y259" s="1160">
        <v>1159280</v>
      </c>
      <c r="Z259" s="1160">
        <v>322982</v>
      </c>
      <c r="AA259" s="1160">
        <v>0</v>
      </c>
      <c r="AB259" s="1160">
        <v>289024</v>
      </c>
      <c r="AC259" s="1160">
        <v>0</v>
      </c>
      <c r="AD259" s="1160">
        <v>0</v>
      </c>
      <c r="AE259" s="1160">
        <v>59380</v>
      </c>
      <c r="AF259" s="1160">
        <v>149558</v>
      </c>
      <c r="AG259" s="1160">
        <v>0</v>
      </c>
      <c r="AH259" s="1160">
        <v>0</v>
      </c>
      <c r="AI259" s="1160">
        <v>0</v>
      </c>
      <c r="AJ259" s="1160">
        <v>81697</v>
      </c>
      <c r="AK259" s="1160">
        <v>1268194</v>
      </c>
      <c r="AL259" s="1160">
        <v>0</v>
      </c>
      <c r="AM259" s="1160">
        <v>0</v>
      </c>
      <c r="AN259" s="1160">
        <v>704853</v>
      </c>
      <c r="AO259" s="1160">
        <v>1573819</v>
      </c>
      <c r="AP259" s="1160">
        <v>0</v>
      </c>
      <c r="AQ259" s="1160">
        <v>0</v>
      </c>
      <c r="AR259" s="1160">
        <v>2482721</v>
      </c>
      <c r="AS259" s="1160">
        <v>188495</v>
      </c>
      <c r="AT259" s="1160">
        <v>37637</v>
      </c>
      <c r="AU259" s="1160">
        <v>325055</v>
      </c>
      <c r="AV259" s="1160">
        <v>1019789</v>
      </c>
      <c r="AW259" s="1160">
        <v>0</v>
      </c>
      <c r="AX259" s="1160">
        <v>25810</v>
      </c>
      <c r="AY259" s="1160">
        <v>281454</v>
      </c>
      <c r="AZ259" s="1160">
        <v>473850</v>
      </c>
      <c r="BA259" s="1160">
        <v>567171</v>
      </c>
      <c r="BB259" s="1160">
        <v>0</v>
      </c>
      <c r="BC259" s="1160">
        <v>215186</v>
      </c>
      <c r="BD259" s="1160">
        <v>0</v>
      </c>
      <c r="BE259" s="1160">
        <v>0</v>
      </c>
      <c r="BF259" s="1160">
        <v>3320741</v>
      </c>
      <c r="BG259" s="1160">
        <v>0</v>
      </c>
      <c r="BH259" s="1160">
        <v>0</v>
      </c>
      <c r="BI259" s="1160">
        <v>388699</v>
      </c>
      <c r="BJ259" s="1160">
        <v>441720</v>
      </c>
      <c r="BK259" s="1160">
        <v>18404</v>
      </c>
      <c r="BL259" s="1160">
        <v>402237</v>
      </c>
      <c r="BM259" s="1160">
        <v>260077</v>
      </c>
      <c r="BN259" s="1160">
        <v>0</v>
      </c>
      <c r="BO259" s="1160">
        <v>728793</v>
      </c>
      <c r="BP259" s="1160">
        <v>73272</v>
      </c>
      <c r="BQ259" s="1160">
        <v>68824</v>
      </c>
      <c r="BR259" s="1160">
        <v>247319</v>
      </c>
      <c r="BS259" s="1160">
        <v>0</v>
      </c>
      <c r="BT259" s="1160">
        <v>2473471</v>
      </c>
      <c r="BU259" s="1160">
        <v>174958</v>
      </c>
      <c r="BV259" s="1160">
        <v>449498</v>
      </c>
      <c r="BW259" s="1160">
        <v>28522</v>
      </c>
      <c r="BX259" s="1160">
        <v>0</v>
      </c>
      <c r="BY259" s="1160">
        <v>0</v>
      </c>
      <c r="BZ259" s="1160">
        <v>0</v>
      </c>
      <c r="CA259" s="1160">
        <v>802190</v>
      </c>
      <c r="CB259" s="1160">
        <v>0</v>
      </c>
    </row>
    <row r="260" spans="1:80" s="1156" customFormat="1" ht="86.4" x14ac:dyDescent="0.3">
      <c r="A260" s="1161"/>
      <c r="B260" s="1161">
        <v>600</v>
      </c>
      <c r="C260" s="1196" t="s">
        <v>931</v>
      </c>
      <c r="D260" s="1154"/>
      <c r="E260" s="1188"/>
      <c r="F260" s="1189"/>
      <c r="G260" s="1189"/>
      <c r="H260" s="1189"/>
      <c r="I260" s="1189"/>
      <c r="J260" s="1189"/>
      <c r="K260" s="1189"/>
      <c r="L260" s="1160"/>
      <c r="M260" s="1160"/>
      <c r="N260" s="1160"/>
      <c r="O260" s="1160"/>
      <c r="P260" s="1160"/>
      <c r="Q260" s="1160"/>
      <c r="R260" s="1160"/>
      <c r="S260" s="1160"/>
      <c r="T260" s="1160"/>
      <c r="U260" s="1160"/>
      <c r="V260" s="1160"/>
      <c r="W260" s="1160"/>
      <c r="X260" s="1160"/>
      <c r="Y260" s="1160"/>
      <c r="Z260" s="1160"/>
      <c r="AA260" s="1160"/>
      <c r="AB260" s="1160"/>
      <c r="AC260" s="1160"/>
      <c r="AD260" s="1160"/>
      <c r="AE260" s="1160"/>
      <c r="AF260" s="1160"/>
      <c r="AG260" s="1160"/>
      <c r="AH260" s="1160"/>
      <c r="AI260" s="1160"/>
      <c r="AJ260" s="1160"/>
      <c r="AK260" s="1160"/>
      <c r="AL260" s="1160"/>
      <c r="AM260" s="1160"/>
      <c r="AN260" s="1160"/>
      <c r="AO260" s="1160"/>
      <c r="AP260" s="1160"/>
      <c r="AQ260" s="1160"/>
      <c r="AR260" s="1160"/>
      <c r="AS260" s="1160"/>
      <c r="AT260" s="1160"/>
      <c r="AU260" s="1160"/>
      <c r="AV260" s="1160"/>
      <c r="AW260" s="1160"/>
      <c r="AX260" s="1160"/>
      <c r="AY260" s="1160"/>
      <c r="AZ260" s="1160"/>
      <c r="BA260" s="1160"/>
      <c r="BB260" s="1160"/>
      <c r="BC260" s="1160"/>
      <c r="BD260" s="1160"/>
      <c r="BE260" s="1160"/>
      <c r="BF260" s="1160"/>
      <c r="BG260" s="1160"/>
      <c r="BH260" s="1160"/>
      <c r="BI260" s="1160"/>
      <c r="BJ260" s="1160"/>
      <c r="BK260" s="1160"/>
      <c r="BL260" s="1160"/>
      <c r="BM260" s="1160"/>
      <c r="BN260" s="1160"/>
      <c r="BO260" s="1160"/>
      <c r="BP260" s="1160"/>
      <c r="BQ260" s="1160"/>
      <c r="BR260" s="1160"/>
      <c r="BS260" s="1160"/>
      <c r="BT260" s="1160"/>
      <c r="BU260" s="1160"/>
      <c r="BV260" s="1160"/>
      <c r="BW260" s="1160"/>
      <c r="BX260" s="1160"/>
      <c r="BY260" s="1160"/>
      <c r="BZ260" s="1160"/>
      <c r="CA260" s="1160"/>
      <c r="CB260" s="1160"/>
    </row>
    <row r="261" spans="1:80" s="1156" customFormat="1" ht="158.4" x14ac:dyDescent="0.3">
      <c r="A261" s="1161"/>
      <c r="B261" s="1161">
        <v>601</v>
      </c>
      <c r="C261" s="1196" t="s">
        <v>932</v>
      </c>
      <c r="D261" s="1154"/>
      <c r="E261" s="1188"/>
      <c r="F261" s="1189"/>
      <c r="G261" s="1189"/>
      <c r="H261" s="1189"/>
      <c r="I261" s="1189"/>
      <c r="J261" s="1189"/>
      <c r="K261" s="1189"/>
      <c r="L261" s="1160"/>
      <c r="M261" s="1160"/>
      <c r="N261" s="1160"/>
      <c r="O261" s="1160"/>
      <c r="P261" s="1160"/>
      <c r="Q261" s="1160"/>
      <c r="R261" s="1160"/>
      <c r="S261" s="1160"/>
      <c r="T261" s="1160"/>
      <c r="U261" s="1160"/>
      <c r="V261" s="1160"/>
      <c r="W261" s="1160"/>
      <c r="X261" s="1160"/>
      <c r="Y261" s="1160"/>
      <c r="Z261" s="1160"/>
      <c r="AA261" s="1160"/>
      <c r="AB261" s="1160"/>
      <c r="AC261" s="1160"/>
      <c r="AD261" s="1160"/>
      <c r="AE261" s="1160"/>
      <c r="AF261" s="1160"/>
      <c r="AG261" s="1160"/>
      <c r="AH261" s="1160"/>
      <c r="AI261" s="1160"/>
      <c r="AJ261" s="1160"/>
      <c r="AK261" s="1160"/>
      <c r="AL261" s="1160"/>
      <c r="AM261" s="1160"/>
      <c r="AN261" s="1160"/>
      <c r="AO261" s="1160"/>
      <c r="AP261" s="1160"/>
      <c r="AQ261" s="1160"/>
      <c r="AR261" s="1160"/>
      <c r="AS261" s="1160"/>
      <c r="AT261" s="1160"/>
      <c r="AU261" s="1160"/>
      <c r="AV261" s="1160"/>
      <c r="AW261" s="1160"/>
      <c r="AX261" s="1160"/>
      <c r="AY261" s="1160"/>
      <c r="AZ261" s="1160"/>
      <c r="BA261" s="1160"/>
      <c r="BB261" s="1160"/>
      <c r="BC261" s="1160"/>
      <c r="BD261" s="1160"/>
      <c r="BE261" s="1160"/>
      <c r="BF261" s="1160"/>
      <c r="BG261" s="1160"/>
      <c r="BH261" s="1160"/>
      <c r="BI261" s="1160"/>
      <c r="BJ261" s="1160"/>
      <c r="BK261" s="1160"/>
      <c r="BL261" s="1160"/>
      <c r="BM261" s="1160"/>
      <c r="BN261" s="1160"/>
      <c r="BO261" s="1160"/>
      <c r="BP261" s="1160"/>
      <c r="BQ261" s="1160"/>
      <c r="BR261" s="1160"/>
      <c r="BS261" s="1160"/>
      <c r="BT261" s="1160"/>
      <c r="BU261" s="1160"/>
      <c r="BV261" s="1160"/>
      <c r="BW261" s="1160"/>
      <c r="BX261" s="1160"/>
      <c r="BY261" s="1160"/>
      <c r="BZ261" s="1160"/>
      <c r="CA261" s="1160"/>
      <c r="CB261" s="1160"/>
    </row>
    <row r="262" spans="1:80" s="1156" customFormat="1" ht="43.2" x14ac:dyDescent="0.3">
      <c r="A262" s="1161">
        <v>602</v>
      </c>
      <c r="B262" s="1161">
        <v>602</v>
      </c>
      <c r="C262" s="1197" t="s">
        <v>707</v>
      </c>
      <c r="D262" s="1154"/>
      <c r="E262" s="1188">
        <v>0</v>
      </c>
      <c r="F262" s="1189">
        <v>0</v>
      </c>
      <c r="G262" s="1189">
        <v>0</v>
      </c>
      <c r="H262" s="1189">
        <v>0</v>
      </c>
      <c r="I262" s="1189">
        <v>0</v>
      </c>
      <c r="J262" s="1189">
        <v>0</v>
      </c>
      <c r="K262" s="1189">
        <v>0</v>
      </c>
      <c r="L262" s="1160">
        <v>0</v>
      </c>
      <c r="M262" s="1160">
        <v>0</v>
      </c>
      <c r="N262" s="1160">
        <v>0</v>
      </c>
      <c r="O262" s="1160">
        <v>0</v>
      </c>
      <c r="P262" s="1160">
        <v>0</v>
      </c>
      <c r="Q262" s="1160">
        <v>0</v>
      </c>
      <c r="R262" s="1160">
        <v>0</v>
      </c>
      <c r="S262" s="1160">
        <v>0</v>
      </c>
      <c r="T262" s="1160">
        <v>0</v>
      </c>
      <c r="U262" s="1160">
        <v>0</v>
      </c>
      <c r="V262" s="1160">
        <v>0</v>
      </c>
      <c r="W262" s="1160">
        <v>0</v>
      </c>
      <c r="X262" s="1160">
        <v>0</v>
      </c>
      <c r="Y262" s="1160">
        <v>0</v>
      </c>
      <c r="Z262" s="1160">
        <v>0</v>
      </c>
      <c r="AA262" s="1160">
        <v>0</v>
      </c>
      <c r="AB262" s="1160">
        <v>0</v>
      </c>
      <c r="AC262" s="1160">
        <v>0</v>
      </c>
      <c r="AD262" s="1160">
        <v>0</v>
      </c>
      <c r="AE262" s="1160">
        <v>0</v>
      </c>
      <c r="AF262" s="1160">
        <v>0</v>
      </c>
      <c r="AG262" s="1160">
        <v>0</v>
      </c>
      <c r="AH262" s="1160">
        <v>0</v>
      </c>
      <c r="AI262" s="1160">
        <v>0</v>
      </c>
      <c r="AJ262" s="1160">
        <v>0</v>
      </c>
      <c r="AK262" s="1160">
        <v>0</v>
      </c>
      <c r="AL262" s="1160">
        <v>0</v>
      </c>
      <c r="AM262" s="1160">
        <v>0</v>
      </c>
      <c r="AN262" s="1160">
        <v>0</v>
      </c>
      <c r="AO262" s="1160">
        <v>0</v>
      </c>
      <c r="AP262" s="1160">
        <v>0</v>
      </c>
      <c r="AQ262" s="1160">
        <v>0</v>
      </c>
      <c r="AR262" s="1160">
        <v>0</v>
      </c>
      <c r="AS262" s="1160">
        <v>0</v>
      </c>
      <c r="AT262" s="1160">
        <v>0</v>
      </c>
      <c r="AU262" s="1160">
        <v>0</v>
      </c>
      <c r="AV262" s="1160">
        <v>0</v>
      </c>
      <c r="AW262" s="1160">
        <v>0</v>
      </c>
      <c r="AX262" s="1160">
        <v>0</v>
      </c>
      <c r="AY262" s="1160">
        <v>0</v>
      </c>
      <c r="AZ262" s="1160">
        <v>0</v>
      </c>
      <c r="BA262" s="1160">
        <v>0</v>
      </c>
      <c r="BB262" s="1160">
        <v>0</v>
      </c>
      <c r="BC262" s="1160">
        <v>0</v>
      </c>
      <c r="BD262" s="1160">
        <v>0</v>
      </c>
      <c r="BE262" s="1160">
        <v>0</v>
      </c>
      <c r="BF262" s="1160">
        <v>0</v>
      </c>
      <c r="BG262" s="1160">
        <v>0</v>
      </c>
      <c r="BH262" s="1160">
        <v>0</v>
      </c>
      <c r="BI262" s="1160">
        <v>0</v>
      </c>
      <c r="BJ262" s="1160">
        <v>0</v>
      </c>
      <c r="BK262" s="1160">
        <v>0</v>
      </c>
      <c r="BL262" s="1160">
        <v>0</v>
      </c>
      <c r="BM262" s="1160">
        <v>0</v>
      </c>
      <c r="BN262" s="1160">
        <v>0</v>
      </c>
      <c r="BO262" s="1160">
        <v>0</v>
      </c>
      <c r="BP262" s="1160">
        <v>0</v>
      </c>
      <c r="BQ262" s="1160">
        <v>0</v>
      </c>
      <c r="BR262" s="1160">
        <v>0</v>
      </c>
      <c r="BS262" s="1160">
        <v>0</v>
      </c>
      <c r="BT262" s="1160">
        <v>0</v>
      </c>
      <c r="BU262" s="1160">
        <v>0</v>
      </c>
      <c r="BV262" s="1160">
        <v>0</v>
      </c>
      <c r="BW262" s="1160">
        <v>0</v>
      </c>
      <c r="BX262" s="1160">
        <v>0</v>
      </c>
      <c r="BY262" s="1160">
        <v>0</v>
      </c>
      <c r="BZ262" s="1160">
        <v>0</v>
      </c>
      <c r="CA262" s="1160">
        <v>0</v>
      </c>
      <c r="CB262" s="1160">
        <v>0</v>
      </c>
    </row>
    <row r="263" spans="1:80" s="1156" customFormat="1" ht="144" x14ac:dyDescent="0.3">
      <c r="A263" s="1152">
        <v>603</v>
      </c>
      <c r="B263" s="1152">
        <v>603</v>
      </c>
      <c r="C263" s="1153" t="s">
        <v>693</v>
      </c>
      <c r="D263" s="1154" t="s">
        <v>1357</v>
      </c>
      <c r="E263" s="1188"/>
      <c r="F263" s="1189"/>
      <c r="G263" s="1189"/>
      <c r="H263" s="1189"/>
      <c r="I263" s="1189"/>
      <c r="J263" s="1189"/>
      <c r="K263" s="1189"/>
      <c r="L263" s="1160"/>
      <c r="M263" s="1160"/>
      <c r="N263" s="1160"/>
      <c r="O263" s="1160"/>
      <c r="P263" s="1160"/>
      <c r="Q263" s="1160"/>
      <c r="R263" s="1160"/>
      <c r="S263" s="1160"/>
      <c r="T263" s="1160"/>
      <c r="U263" s="1160"/>
      <c r="V263" s="1160"/>
      <c r="W263" s="1160"/>
      <c r="X263" s="1160"/>
      <c r="Y263" s="1160"/>
      <c r="Z263" s="1160"/>
      <c r="AA263" s="1160"/>
      <c r="AB263" s="1160"/>
      <c r="AC263" s="1160"/>
      <c r="AD263" s="1160"/>
      <c r="AE263" s="1160"/>
      <c r="AF263" s="1160"/>
      <c r="AG263" s="1160"/>
      <c r="AH263" s="1160"/>
      <c r="AI263" s="1160"/>
      <c r="AJ263" s="1160"/>
      <c r="AK263" s="1160"/>
      <c r="AL263" s="1160"/>
      <c r="AM263" s="1160"/>
      <c r="AN263" s="1160"/>
      <c r="AO263" s="1160"/>
      <c r="AP263" s="1160"/>
      <c r="AQ263" s="1160"/>
      <c r="AR263" s="1160"/>
      <c r="AS263" s="1160"/>
      <c r="AT263" s="1160"/>
      <c r="AU263" s="1160"/>
      <c r="AV263" s="1160"/>
      <c r="AW263" s="1160"/>
      <c r="AX263" s="1160"/>
      <c r="AY263" s="1160"/>
      <c r="AZ263" s="1160"/>
      <c r="BA263" s="1160"/>
      <c r="BB263" s="1160"/>
      <c r="BC263" s="1160"/>
      <c r="BD263" s="1160"/>
      <c r="BE263" s="1160"/>
      <c r="BF263" s="1160"/>
      <c r="BG263" s="1160"/>
      <c r="BH263" s="1160"/>
      <c r="BI263" s="1160"/>
      <c r="BJ263" s="1160"/>
      <c r="BK263" s="1160"/>
      <c r="BL263" s="1160"/>
      <c r="BM263" s="1160"/>
      <c r="BN263" s="1160"/>
      <c r="BO263" s="1160"/>
      <c r="BP263" s="1160"/>
      <c r="BQ263" s="1160"/>
      <c r="BR263" s="1160"/>
      <c r="BS263" s="1160"/>
      <c r="BT263" s="1160"/>
      <c r="BU263" s="1160"/>
      <c r="BV263" s="1160"/>
      <c r="BW263" s="1160"/>
      <c r="BX263" s="1160"/>
      <c r="BY263" s="1160"/>
      <c r="BZ263" s="1160"/>
      <c r="CA263" s="1160"/>
      <c r="CB263" s="1160"/>
    </row>
    <row r="264" spans="1:80" s="1156" customFormat="1" ht="115.2" x14ac:dyDescent="0.3">
      <c r="A264" s="1152"/>
      <c r="B264" s="1152">
        <v>604</v>
      </c>
      <c r="C264" s="1198" t="s">
        <v>694</v>
      </c>
      <c r="D264" s="1154"/>
      <c r="E264" s="1188">
        <v>0</v>
      </c>
      <c r="F264" s="1189">
        <v>0</v>
      </c>
      <c r="G264" s="1189">
        <v>0</v>
      </c>
      <c r="H264" s="1189">
        <v>0</v>
      </c>
      <c r="I264" s="1189">
        <v>0</v>
      </c>
      <c r="J264" s="1189">
        <v>0</v>
      </c>
      <c r="K264" s="1189">
        <v>0</v>
      </c>
      <c r="L264" s="1160">
        <v>0</v>
      </c>
      <c r="M264" s="1160">
        <v>0</v>
      </c>
      <c r="N264" s="1160">
        <v>0</v>
      </c>
      <c r="O264" s="1160">
        <v>0</v>
      </c>
      <c r="P264" s="1160">
        <v>0</v>
      </c>
      <c r="Q264" s="1160">
        <v>0</v>
      </c>
      <c r="R264" s="1160">
        <v>0</v>
      </c>
      <c r="S264" s="1160">
        <v>0</v>
      </c>
      <c r="T264" s="1160">
        <v>0</v>
      </c>
      <c r="U264" s="1160">
        <v>0</v>
      </c>
      <c r="V264" s="1160">
        <v>0</v>
      </c>
      <c r="W264" s="1160">
        <v>0</v>
      </c>
      <c r="X264" s="1160">
        <v>0</v>
      </c>
      <c r="Y264" s="1160">
        <v>0</v>
      </c>
      <c r="Z264" s="1160">
        <v>0</v>
      </c>
      <c r="AA264" s="1160">
        <v>0</v>
      </c>
      <c r="AB264" s="1160">
        <v>0</v>
      </c>
      <c r="AC264" s="1160">
        <v>0</v>
      </c>
      <c r="AD264" s="1160">
        <v>0</v>
      </c>
      <c r="AE264" s="1160">
        <v>0</v>
      </c>
      <c r="AF264" s="1160">
        <v>0</v>
      </c>
      <c r="AG264" s="1160">
        <v>0</v>
      </c>
      <c r="AH264" s="1160">
        <v>0</v>
      </c>
      <c r="AI264" s="1160">
        <v>0</v>
      </c>
      <c r="AJ264" s="1160">
        <v>0</v>
      </c>
      <c r="AK264" s="1160">
        <v>0</v>
      </c>
      <c r="AL264" s="1160">
        <v>0</v>
      </c>
      <c r="AM264" s="1160">
        <v>0</v>
      </c>
      <c r="AN264" s="1160">
        <v>0</v>
      </c>
      <c r="AO264" s="1160">
        <v>0</v>
      </c>
      <c r="AP264" s="1160">
        <v>0</v>
      </c>
      <c r="AQ264" s="1160">
        <v>0</v>
      </c>
      <c r="AR264" s="1160">
        <v>0</v>
      </c>
      <c r="AS264" s="1160">
        <v>0</v>
      </c>
      <c r="AT264" s="1160">
        <v>0</v>
      </c>
      <c r="AU264" s="1160">
        <v>0</v>
      </c>
      <c r="AV264" s="1160">
        <v>0</v>
      </c>
      <c r="AW264" s="1160">
        <v>0</v>
      </c>
      <c r="AX264" s="1160">
        <v>0</v>
      </c>
      <c r="AY264" s="1160">
        <v>0</v>
      </c>
      <c r="AZ264" s="1160">
        <v>0</v>
      </c>
      <c r="BA264" s="1160">
        <v>0</v>
      </c>
      <c r="BB264" s="1160">
        <v>0</v>
      </c>
      <c r="BC264" s="1160">
        <v>0</v>
      </c>
      <c r="BD264" s="1160">
        <v>0</v>
      </c>
      <c r="BE264" s="1160">
        <v>0</v>
      </c>
      <c r="BF264" s="1160">
        <v>0</v>
      </c>
      <c r="BG264" s="1160">
        <v>0</v>
      </c>
      <c r="BH264" s="1160">
        <v>0</v>
      </c>
      <c r="BI264" s="1160">
        <v>0</v>
      </c>
      <c r="BJ264" s="1160">
        <v>0</v>
      </c>
      <c r="BK264" s="1160">
        <v>0</v>
      </c>
      <c r="BL264" s="1160">
        <v>0</v>
      </c>
      <c r="BM264" s="1160">
        <v>0</v>
      </c>
      <c r="BN264" s="1160">
        <v>0</v>
      </c>
      <c r="BO264" s="1160">
        <v>0</v>
      </c>
      <c r="BP264" s="1160">
        <v>0</v>
      </c>
      <c r="BQ264" s="1160">
        <v>0</v>
      </c>
      <c r="BR264" s="1160">
        <v>0</v>
      </c>
      <c r="BS264" s="1160">
        <v>0</v>
      </c>
      <c r="BT264" s="1160">
        <v>0</v>
      </c>
      <c r="BU264" s="1160">
        <v>0</v>
      </c>
      <c r="BV264" s="1160">
        <v>0</v>
      </c>
      <c r="BW264" s="1160">
        <v>0</v>
      </c>
      <c r="BX264" s="1160">
        <v>0</v>
      </c>
      <c r="BY264" s="1160">
        <v>0</v>
      </c>
      <c r="BZ264" s="1160">
        <v>0</v>
      </c>
      <c r="CA264" s="1160">
        <v>0</v>
      </c>
      <c r="CB264" s="1160">
        <v>0</v>
      </c>
    </row>
    <row r="265" spans="1:80" s="1156" customFormat="1" ht="28.8" x14ac:dyDescent="0.3">
      <c r="A265" s="1152">
        <v>605</v>
      </c>
      <c r="B265" s="1152">
        <v>605</v>
      </c>
      <c r="C265" s="1153" t="s">
        <v>696</v>
      </c>
      <c r="D265" s="1154"/>
      <c r="E265" s="1188">
        <v>0</v>
      </c>
      <c r="F265" s="1189">
        <v>0</v>
      </c>
      <c r="G265" s="1189">
        <v>0</v>
      </c>
      <c r="H265" s="1189">
        <v>0</v>
      </c>
      <c r="I265" s="1189">
        <v>0</v>
      </c>
      <c r="J265" s="1189">
        <v>0</v>
      </c>
      <c r="K265" s="1189">
        <v>0</v>
      </c>
      <c r="L265" s="1160">
        <v>0</v>
      </c>
      <c r="M265" s="1160">
        <v>0</v>
      </c>
      <c r="N265" s="1160">
        <v>0</v>
      </c>
      <c r="O265" s="1160">
        <v>0</v>
      </c>
      <c r="P265" s="1160">
        <v>0</v>
      </c>
      <c r="Q265" s="1160">
        <v>0</v>
      </c>
      <c r="R265" s="1160">
        <v>0</v>
      </c>
      <c r="S265" s="1160">
        <v>0</v>
      </c>
      <c r="T265" s="1160">
        <v>0</v>
      </c>
      <c r="U265" s="1160">
        <v>0</v>
      </c>
      <c r="V265" s="1160">
        <v>0</v>
      </c>
      <c r="W265" s="1160">
        <v>0</v>
      </c>
      <c r="X265" s="1160">
        <v>0</v>
      </c>
      <c r="Y265" s="1160">
        <v>0</v>
      </c>
      <c r="Z265" s="1160">
        <v>0</v>
      </c>
      <c r="AA265" s="1160">
        <v>0</v>
      </c>
      <c r="AB265" s="1160">
        <v>0</v>
      </c>
      <c r="AC265" s="1160">
        <v>0</v>
      </c>
      <c r="AD265" s="1160">
        <v>0</v>
      </c>
      <c r="AE265" s="1160">
        <v>0</v>
      </c>
      <c r="AF265" s="1160">
        <v>0</v>
      </c>
      <c r="AG265" s="1160">
        <v>0</v>
      </c>
      <c r="AH265" s="1160">
        <v>0</v>
      </c>
      <c r="AI265" s="1160">
        <v>0</v>
      </c>
      <c r="AJ265" s="1160">
        <v>0</v>
      </c>
      <c r="AK265" s="1160">
        <v>0</v>
      </c>
      <c r="AL265" s="1160">
        <v>0</v>
      </c>
      <c r="AM265" s="1160">
        <v>0</v>
      </c>
      <c r="AN265" s="1160">
        <v>0</v>
      </c>
      <c r="AO265" s="1160">
        <v>0</v>
      </c>
      <c r="AP265" s="1160">
        <v>0</v>
      </c>
      <c r="AQ265" s="1160">
        <v>0</v>
      </c>
      <c r="AR265" s="1160">
        <v>0</v>
      </c>
      <c r="AS265" s="1160">
        <v>0</v>
      </c>
      <c r="AT265" s="1160">
        <v>0</v>
      </c>
      <c r="AU265" s="1160">
        <v>0</v>
      </c>
      <c r="AV265" s="1160">
        <v>0</v>
      </c>
      <c r="AW265" s="1160">
        <v>0</v>
      </c>
      <c r="AX265" s="1160">
        <v>0</v>
      </c>
      <c r="AY265" s="1160">
        <v>0</v>
      </c>
      <c r="AZ265" s="1160">
        <v>0</v>
      </c>
      <c r="BA265" s="1160">
        <v>0</v>
      </c>
      <c r="BB265" s="1160">
        <v>0</v>
      </c>
      <c r="BC265" s="1160">
        <v>0</v>
      </c>
      <c r="BD265" s="1160">
        <v>0</v>
      </c>
      <c r="BE265" s="1160">
        <v>0</v>
      </c>
      <c r="BF265" s="1160">
        <v>0</v>
      </c>
      <c r="BG265" s="1160">
        <v>0</v>
      </c>
      <c r="BH265" s="1160">
        <v>0</v>
      </c>
      <c r="BI265" s="1160">
        <v>0</v>
      </c>
      <c r="BJ265" s="1160">
        <v>0</v>
      </c>
      <c r="BK265" s="1160">
        <v>0</v>
      </c>
      <c r="BL265" s="1160">
        <v>0</v>
      </c>
      <c r="BM265" s="1160">
        <v>0</v>
      </c>
      <c r="BN265" s="1160">
        <v>0</v>
      </c>
      <c r="BO265" s="1160">
        <v>0</v>
      </c>
      <c r="BP265" s="1160">
        <v>0</v>
      </c>
      <c r="BQ265" s="1160">
        <v>0</v>
      </c>
      <c r="BR265" s="1160">
        <v>0</v>
      </c>
      <c r="BS265" s="1160">
        <v>0</v>
      </c>
      <c r="BT265" s="1160">
        <v>0</v>
      </c>
      <c r="BU265" s="1160">
        <v>0</v>
      </c>
      <c r="BV265" s="1160">
        <v>0</v>
      </c>
      <c r="BW265" s="1160">
        <v>0</v>
      </c>
      <c r="BX265" s="1160">
        <v>0</v>
      </c>
      <c r="BY265" s="1160">
        <v>0</v>
      </c>
      <c r="BZ265" s="1160">
        <v>0</v>
      </c>
      <c r="CA265" s="1160">
        <v>0</v>
      </c>
      <c r="CB265" s="1160">
        <v>0</v>
      </c>
    </row>
    <row r="266" spans="1:80" s="1156" customFormat="1" ht="28.8" x14ac:dyDescent="0.3">
      <c r="A266" s="1152">
        <v>606</v>
      </c>
      <c r="B266" s="1152">
        <v>606</v>
      </c>
      <c r="C266" s="1199" t="s">
        <v>715</v>
      </c>
      <c r="D266" s="1154"/>
      <c r="E266" s="1188">
        <v>0</v>
      </c>
      <c r="F266" s="1189">
        <v>1</v>
      </c>
      <c r="G266" s="1189">
        <v>0</v>
      </c>
      <c r="H266" s="1189">
        <v>1</v>
      </c>
      <c r="I266" s="1189">
        <v>1</v>
      </c>
      <c r="J266" s="1189">
        <v>0</v>
      </c>
      <c r="K266" s="1189">
        <v>0</v>
      </c>
      <c r="L266" s="1160">
        <v>0</v>
      </c>
      <c r="M266" s="1160">
        <v>1</v>
      </c>
      <c r="N266" s="1160">
        <v>0</v>
      </c>
      <c r="O266" s="1160">
        <v>0</v>
      </c>
      <c r="P266" s="1160">
        <v>0</v>
      </c>
      <c r="Q266" s="1160">
        <v>1</v>
      </c>
      <c r="R266" s="1160">
        <v>0</v>
      </c>
      <c r="S266" s="1160">
        <v>0</v>
      </c>
      <c r="T266" s="1160">
        <v>0</v>
      </c>
      <c r="U266" s="1160">
        <v>0</v>
      </c>
      <c r="V266" s="1160">
        <v>1</v>
      </c>
      <c r="W266" s="1160">
        <v>0</v>
      </c>
      <c r="X266" s="1160">
        <v>0</v>
      </c>
      <c r="Y266" s="1160">
        <v>1</v>
      </c>
      <c r="Z266" s="1160">
        <v>0</v>
      </c>
      <c r="AA266" s="1160">
        <v>0</v>
      </c>
      <c r="AB266" s="1160">
        <v>0</v>
      </c>
      <c r="AC266" s="1160">
        <v>0</v>
      </c>
      <c r="AD266" s="1160">
        <v>0</v>
      </c>
      <c r="AE266" s="1160">
        <v>0</v>
      </c>
      <c r="AF266" s="1160">
        <v>0</v>
      </c>
      <c r="AG266" s="1160">
        <v>0</v>
      </c>
      <c r="AH266" s="1160">
        <v>0</v>
      </c>
      <c r="AI266" s="1160">
        <v>0</v>
      </c>
      <c r="AJ266" s="1160">
        <v>0</v>
      </c>
      <c r="AK266" s="1160">
        <v>1</v>
      </c>
      <c r="AL266" s="1160">
        <v>0</v>
      </c>
      <c r="AM266" s="1160">
        <v>0</v>
      </c>
      <c r="AN266" s="1160">
        <v>1</v>
      </c>
      <c r="AO266" s="1160">
        <v>1</v>
      </c>
      <c r="AP266" s="1160">
        <v>0</v>
      </c>
      <c r="AQ266" s="1160">
        <v>0</v>
      </c>
      <c r="AR266" s="1160">
        <v>1</v>
      </c>
      <c r="AS266" s="1160">
        <v>0</v>
      </c>
      <c r="AT266" s="1160">
        <v>0</v>
      </c>
      <c r="AU266" s="1160">
        <v>0</v>
      </c>
      <c r="AV266" s="1160">
        <v>1</v>
      </c>
      <c r="AW266" s="1160">
        <v>0</v>
      </c>
      <c r="AX266" s="1160">
        <v>0</v>
      </c>
      <c r="AY266" s="1160">
        <v>0</v>
      </c>
      <c r="AZ266" s="1160">
        <v>1</v>
      </c>
      <c r="BA266" s="1160">
        <v>0</v>
      </c>
      <c r="BB266" s="1160">
        <v>0</v>
      </c>
      <c r="BC266" s="1160">
        <v>0</v>
      </c>
      <c r="BD266" s="1160">
        <v>0</v>
      </c>
      <c r="BE266" s="1160">
        <v>0</v>
      </c>
      <c r="BF266" s="1160">
        <v>0</v>
      </c>
      <c r="BG266" s="1160">
        <v>0</v>
      </c>
      <c r="BH266" s="1160">
        <v>0</v>
      </c>
      <c r="BI266" s="1160">
        <v>0</v>
      </c>
      <c r="BJ266" s="1160">
        <v>0</v>
      </c>
      <c r="BK266" s="1160">
        <v>0</v>
      </c>
      <c r="BL266" s="1160">
        <v>0</v>
      </c>
      <c r="BM266" s="1160">
        <v>0</v>
      </c>
      <c r="BN266" s="1160">
        <v>0</v>
      </c>
      <c r="BO266" s="1160">
        <v>1</v>
      </c>
      <c r="BP266" s="1160">
        <v>0</v>
      </c>
      <c r="BQ266" s="1160">
        <v>0</v>
      </c>
      <c r="BR266" s="1160">
        <v>0</v>
      </c>
      <c r="BS266" s="1160">
        <v>0</v>
      </c>
      <c r="BT266" s="1160">
        <v>1</v>
      </c>
      <c r="BU266" s="1160">
        <v>0</v>
      </c>
      <c r="BV266" s="1160">
        <v>0</v>
      </c>
      <c r="BW266" s="1160">
        <v>1</v>
      </c>
      <c r="BX266" s="1160">
        <v>0</v>
      </c>
      <c r="BY266" s="1160">
        <v>0</v>
      </c>
      <c r="BZ266" s="1160">
        <v>0</v>
      </c>
      <c r="CA266" s="1160">
        <v>1</v>
      </c>
      <c r="CB266" s="1160">
        <v>0</v>
      </c>
    </row>
    <row r="267" spans="1:80" s="1156" customFormat="1" x14ac:dyDescent="0.3">
      <c r="A267" s="1152">
        <v>607</v>
      </c>
      <c r="B267" s="1152">
        <v>607</v>
      </c>
      <c r="C267" s="1153" t="s">
        <v>686</v>
      </c>
      <c r="D267" s="1154"/>
      <c r="E267" s="1188">
        <v>0</v>
      </c>
      <c r="F267" s="1189">
        <v>0</v>
      </c>
      <c r="G267" s="1189">
        <v>0</v>
      </c>
      <c r="H267" s="1189">
        <v>0</v>
      </c>
      <c r="I267" s="1189">
        <v>0</v>
      </c>
      <c r="J267" s="1189">
        <v>0</v>
      </c>
      <c r="K267" s="1189">
        <v>0</v>
      </c>
      <c r="L267" s="1160">
        <v>0</v>
      </c>
      <c r="M267" s="1160">
        <v>0</v>
      </c>
      <c r="N267" s="1160">
        <v>0</v>
      </c>
      <c r="O267" s="1160">
        <v>0</v>
      </c>
      <c r="P267" s="1160">
        <v>0</v>
      </c>
      <c r="Q267" s="1160">
        <v>0</v>
      </c>
      <c r="R267" s="1160">
        <v>0</v>
      </c>
      <c r="S267" s="1160">
        <v>0</v>
      </c>
      <c r="T267" s="1160">
        <v>0</v>
      </c>
      <c r="U267" s="1160">
        <v>0</v>
      </c>
      <c r="V267" s="1160">
        <v>0</v>
      </c>
      <c r="W267" s="1160">
        <v>0</v>
      </c>
      <c r="X267" s="1160">
        <v>0</v>
      </c>
      <c r="Y267" s="1160">
        <v>0</v>
      </c>
      <c r="Z267" s="1160">
        <v>0</v>
      </c>
      <c r="AA267" s="1160">
        <v>0</v>
      </c>
      <c r="AB267" s="1160">
        <v>0</v>
      </c>
      <c r="AC267" s="1160">
        <v>0</v>
      </c>
      <c r="AD267" s="1160">
        <v>0</v>
      </c>
      <c r="AE267" s="1160">
        <v>0</v>
      </c>
      <c r="AF267" s="1160">
        <v>0</v>
      </c>
      <c r="AG267" s="1160">
        <v>0</v>
      </c>
      <c r="AH267" s="1160">
        <v>0</v>
      </c>
      <c r="AI267" s="1160">
        <v>0</v>
      </c>
      <c r="AJ267" s="1160">
        <v>0</v>
      </c>
      <c r="AK267" s="1160">
        <v>0</v>
      </c>
      <c r="AL267" s="1160">
        <v>0</v>
      </c>
      <c r="AM267" s="1160">
        <v>0</v>
      </c>
      <c r="AN267" s="1160">
        <v>0</v>
      </c>
      <c r="AO267" s="1160">
        <v>0</v>
      </c>
      <c r="AP267" s="1160">
        <v>0</v>
      </c>
      <c r="AQ267" s="1160">
        <v>0</v>
      </c>
      <c r="AR267" s="1160">
        <v>0</v>
      </c>
      <c r="AS267" s="1160">
        <v>0</v>
      </c>
      <c r="AT267" s="1160">
        <v>0</v>
      </c>
      <c r="AU267" s="1160">
        <v>0</v>
      </c>
      <c r="AV267" s="1160">
        <v>0</v>
      </c>
      <c r="AW267" s="1160">
        <v>0</v>
      </c>
      <c r="AX267" s="1160">
        <v>0</v>
      </c>
      <c r="AY267" s="1160">
        <v>0</v>
      </c>
      <c r="AZ267" s="1160">
        <v>0</v>
      </c>
      <c r="BA267" s="1160">
        <v>0</v>
      </c>
      <c r="BB267" s="1160">
        <v>0</v>
      </c>
      <c r="BC267" s="1160">
        <v>0</v>
      </c>
      <c r="BD267" s="1160">
        <v>0</v>
      </c>
      <c r="BE267" s="1160">
        <v>0</v>
      </c>
      <c r="BF267" s="1160">
        <v>0</v>
      </c>
      <c r="BG267" s="1160">
        <v>0</v>
      </c>
      <c r="BH267" s="1160">
        <v>0</v>
      </c>
      <c r="BI267" s="1160">
        <v>0</v>
      </c>
      <c r="BJ267" s="1160">
        <v>0</v>
      </c>
      <c r="BK267" s="1160">
        <v>0</v>
      </c>
      <c r="BL267" s="1160">
        <v>0</v>
      </c>
      <c r="BM267" s="1160">
        <v>0</v>
      </c>
      <c r="BN267" s="1160">
        <v>0</v>
      </c>
      <c r="BO267" s="1160">
        <v>0</v>
      </c>
      <c r="BP267" s="1160">
        <v>0</v>
      </c>
      <c r="BQ267" s="1160">
        <v>0</v>
      </c>
      <c r="BR267" s="1160">
        <v>0</v>
      </c>
      <c r="BS267" s="1160">
        <v>0</v>
      </c>
      <c r="BT267" s="1160">
        <v>0</v>
      </c>
      <c r="BU267" s="1160">
        <v>0</v>
      </c>
      <c r="BV267" s="1160">
        <v>0</v>
      </c>
      <c r="BW267" s="1160">
        <v>0</v>
      </c>
      <c r="BX267" s="1160">
        <v>0</v>
      </c>
      <c r="BY267" s="1160">
        <v>0</v>
      </c>
      <c r="BZ267" s="1160">
        <v>0</v>
      </c>
      <c r="CA267" s="1160">
        <v>0</v>
      </c>
      <c r="CB267" s="1160">
        <v>0</v>
      </c>
    </row>
    <row r="268" spans="1:80" s="1156" customFormat="1" x14ac:dyDescent="0.3">
      <c r="A268" s="1152">
        <v>608</v>
      </c>
      <c r="B268" s="1152">
        <v>608</v>
      </c>
      <c r="C268" s="1153" t="s">
        <v>687</v>
      </c>
      <c r="D268" s="1154"/>
      <c r="E268" s="1188">
        <v>0</v>
      </c>
      <c r="F268" s="1189">
        <v>0</v>
      </c>
      <c r="G268" s="1189">
        <v>0</v>
      </c>
      <c r="H268" s="1189">
        <v>0</v>
      </c>
      <c r="I268" s="1189">
        <v>0</v>
      </c>
      <c r="J268" s="1189">
        <v>0</v>
      </c>
      <c r="K268" s="1189">
        <v>0</v>
      </c>
      <c r="L268" s="1160">
        <v>0</v>
      </c>
      <c r="M268" s="1160">
        <v>0</v>
      </c>
      <c r="N268" s="1160">
        <v>0</v>
      </c>
      <c r="O268" s="1160">
        <v>0</v>
      </c>
      <c r="P268" s="1160">
        <v>0</v>
      </c>
      <c r="Q268" s="1160">
        <v>0</v>
      </c>
      <c r="R268" s="1160">
        <v>0</v>
      </c>
      <c r="S268" s="1160">
        <v>0</v>
      </c>
      <c r="T268" s="1160">
        <v>0</v>
      </c>
      <c r="U268" s="1160">
        <v>0</v>
      </c>
      <c r="V268" s="1160">
        <v>0</v>
      </c>
      <c r="W268" s="1160">
        <v>0</v>
      </c>
      <c r="X268" s="1160">
        <v>0</v>
      </c>
      <c r="Y268" s="1160">
        <v>0</v>
      </c>
      <c r="Z268" s="1160">
        <v>0</v>
      </c>
      <c r="AA268" s="1160">
        <v>0</v>
      </c>
      <c r="AB268" s="1160">
        <v>0</v>
      </c>
      <c r="AC268" s="1160">
        <v>0</v>
      </c>
      <c r="AD268" s="1160">
        <v>0</v>
      </c>
      <c r="AE268" s="1160">
        <v>0</v>
      </c>
      <c r="AF268" s="1160">
        <v>0</v>
      </c>
      <c r="AG268" s="1160">
        <v>0</v>
      </c>
      <c r="AH268" s="1160">
        <v>0</v>
      </c>
      <c r="AI268" s="1160">
        <v>0</v>
      </c>
      <c r="AJ268" s="1160">
        <v>0</v>
      </c>
      <c r="AK268" s="1160">
        <v>0</v>
      </c>
      <c r="AL268" s="1160">
        <v>0</v>
      </c>
      <c r="AM268" s="1160">
        <v>0</v>
      </c>
      <c r="AN268" s="1160">
        <v>0</v>
      </c>
      <c r="AO268" s="1160">
        <v>0</v>
      </c>
      <c r="AP268" s="1160">
        <v>0</v>
      </c>
      <c r="AQ268" s="1160">
        <v>0</v>
      </c>
      <c r="AR268" s="1160">
        <v>0</v>
      </c>
      <c r="AS268" s="1160">
        <v>0</v>
      </c>
      <c r="AT268" s="1160">
        <v>0</v>
      </c>
      <c r="AU268" s="1160">
        <v>0</v>
      </c>
      <c r="AV268" s="1160">
        <v>0</v>
      </c>
      <c r="AW268" s="1160">
        <v>0</v>
      </c>
      <c r="AX268" s="1160">
        <v>0</v>
      </c>
      <c r="AY268" s="1160">
        <v>0</v>
      </c>
      <c r="AZ268" s="1160">
        <v>0</v>
      </c>
      <c r="BA268" s="1160">
        <v>0</v>
      </c>
      <c r="BB268" s="1160">
        <v>0</v>
      </c>
      <c r="BC268" s="1160">
        <v>0</v>
      </c>
      <c r="BD268" s="1160">
        <v>0</v>
      </c>
      <c r="BE268" s="1160">
        <v>0</v>
      </c>
      <c r="BF268" s="1160">
        <v>0</v>
      </c>
      <c r="BG268" s="1160">
        <v>0</v>
      </c>
      <c r="BH268" s="1160">
        <v>0</v>
      </c>
      <c r="BI268" s="1160">
        <v>0</v>
      </c>
      <c r="BJ268" s="1160">
        <v>0</v>
      </c>
      <c r="BK268" s="1160">
        <v>0</v>
      </c>
      <c r="BL268" s="1160">
        <v>0</v>
      </c>
      <c r="BM268" s="1160">
        <v>0</v>
      </c>
      <c r="BN268" s="1160">
        <v>0</v>
      </c>
      <c r="BO268" s="1160">
        <v>0</v>
      </c>
      <c r="BP268" s="1160">
        <v>0</v>
      </c>
      <c r="BQ268" s="1160">
        <v>0</v>
      </c>
      <c r="BR268" s="1160">
        <v>0</v>
      </c>
      <c r="BS268" s="1160">
        <v>0</v>
      </c>
      <c r="BT268" s="1160">
        <v>0</v>
      </c>
      <c r="BU268" s="1160">
        <v>0</v>
      </c>
      <c r="BV268" s="1160">
        <v>0</v>
      </c>
      <c r="BW268" s="1160">
        <v>0</v>
      </c>
      <c r="BX268" s="1160">
        <v>0</v>
      </c>
      <c r="BY268" s="1160">
        <v>0</v>
      </c>
      <c r="BZ268" s="1160">
        <v>0</v>
      </c>
      <c r="CA268" s="1160">
        <v>0</v>
      </c>
      <c r="CB268" s="1160">
        <v>0</v>
      </c>
    </row>
    <row r="269" spans="1:80" s="1156" customFormat="1" ht="28.8" x14ac:dyDescent="0.3">
      <c r="A269" s="1152">
        <v>609</v>
      </c>
      <c r="B269" s="1152">
        <v>609</v>
      </c>
      <c r="C269" s="1153" t="s">
        <v>708</v>
      </c>
      <c r="D269" s="1154"/>
      <c r="E269" s="1200">
        <v>0</v>
      </c>
      <c r="F269" s="1201">
        <v>0</v>
      </c>
      <c r="G269" s="1201">
        <v>0</v>
      </c>
      <c r="H269" s="1201">
        <v>0</v>
      </c>
      <c r="I269" s="1201">
        <v>0</v>
      </c>
      <c r="J269" s="1201">
        <v>0</v>
      </c>
      <c r="K269" s="1201">
        <v>0</v>
      </c>
      <c r="L269" s="1202">
        <v>0</v>
      </c>
      <c r="M269" s="1202">
        <v>0</v>
      </c>
      <c r="N269" s="1202">
        <v>0</v>
      </c>
      <c r="O269" s="1202">
        <v>0</v>
      </c>
      <c r="P269" s="1202">
        <v>0</v>
      </c>
      <c r="Q269" s="1202">
        <v>0</v>
      </c>
      <c r="R269" s="1202">
        <v>0</v>
      </c>
      <c r="S269" s="1202">
        <v>0</v>
      </c>
      <c r="T269" s="1202">
        <v>0</v>
      </c>
      <c r="U269" s="1202">
        <v>0</v>
      </c>
      <c r="V269" s="1202">
        <v>0</v>
      </c>
      <c r="W269" s="1202">
        <v>0</v>
      </c>
      <c r="X269" s="1202">
        <v>0</v>
      </c>
      <c r="Y269" s="1202">
        <v>0</v>
      </c>
      <c r="Z269" s="1202">
        <v>0</v>
      </c>
      <c r="AA269" s="1202">
        <v>0</v>
      </c>
      <c r="AB269" s="1202">
        <v>0</v>
      </c>
      <c r="AC269" s="1202">
        <v>0</v>
      </c>
      <c r="AD269" s="1202">
        <v>0</v>
      </c>
      <c r="AE269" s="1202">
        <v>0</v>
      </c>
      <c r="AF269" s="1202">
        <v>0</v>
      </c>
      <c r="AG269" s="1202">
        <v>0</v>
      </c>
      <c r="AH269" s="1202">
        <v>0</v>
      </c>
      <c r="AI269" s="1202">
        <v>0</v>
      </c>
      <c r="AJ269" s="1202">
        <v>0</v>
      </c>
      <c r="AK269" s="1202">
        <v>0</v>
      </c>
      <c r="AL269" s="1202">
        <v>0</v>
      </c>
      <c r="AM269" s="1202">
        <v>0</v>
      </c>
      <c r="AN269" s="1202">
        <v>0</v>
      </c>
      <c r="AO269" s="1202">
        <v>0</v>
      </c>
      <c r="AP269" s="1202">
        <v>0</v>
      </c>
      <c r="AQ269" s="1202">
        <v>0</v>
      </c>
      <c r="AR269" s="1202">
        <v>0</v>
      </c>
      <c r="AS269" s="1202">
        <v>0</v>
      </c>
      <c r="AT269" s="1202">
        <v>0</v>
      </c>
      <c r="AU269" s="1202">
        <v>0</v>
      </c>
      <c r="AV269" s="1202">
        <v>0</v>
      </c>
      <c r="AW269" s="1202">
        <v>0</v>
      </c>
      <c r="AX269" s="1202">
        <v>0</v>
      </c>
      <c r="AY269" s="1202">
        <v>0</v>
      </c>
      <c r="AZ269" s="1202">
        <v>0</v>
      </c>
      <c r="BA269" s="1202">
        <v>0</v>
      </c>
      <c r="BB269" s="1202">
        <v>0</v>
      </c>
      <c r="BC269" s="1202">
        <v>0</v>
      </c>
      <c r="BD269" s="1202">
        <v>0</v>
      </c>
      <c r="BE269" s="1202">
        <v>0</v>
      </c>
      <c r="BF269" s="1202">
        <v>0</v>
      </c>
      <c r="BG269" s="1202">
        <v>0</v>
      </c>
      <c r="BH269" s="1202">
        <v>0</v>
      </c>
      <c r="BI269" s="1202">
        <v>0</v>
      </c>
      <c r="BJ269" s="1202">
        <v>0</v>
      </c>
      <c r="BK269" s="1202">
        <v>0</v>
      </c>
      <c r="BL269" s="1202">
        <v>0</v>
      </c>
      <c r="BM269" s="1202">
        <v>0</v>
      </c>
      <c r="BN269" s="1202">
        <v>0</v>
      </c>
      <c r="BO269" s="1202">
        <v>0</v>
      </c>
      <c r="BP269" s="1202">
        <v>0</v>
      </c>
      <c r="BQ269" s="1202">
        <v>0</v>
      </c>
      <c r="BR269" s="1202">
        <v>0</v>
      </c>
      <c r="BS269" s="1202">
        <v>0</v>
      </c>
      <c r="BT269" s="1202">
        <v>0</v>
      </c>
      <c r="BU269" s="1202">
        <v>0</v>
      </c>
      <c r="BV269" s="1202">
        <v>0</v>
      </c>
      <c r="BW269" s="1202">
        <v>0</v>
      </c>
      <c r="BX269" s="1202">
        <v>0</v>
      </c>
      <c r="BY269" s="1202">
        <v>0</v>
      </c>
      <c r="BZ269" s="1202">
        <v>0</v>
      </c>
      <c r="CA269" s="1202">
        <v>0</v>
      </c>
      <c r="CB269" s="1202">
        <v>0</v>
      </c>
    </row>
    <row r="270" spans="1:80" s="1156" customFormat="1" x14ac:dyDescent="0.3">
      <c r="A270" s="1152">
        <v>610</v>
      </c>
      <c r="B270" s="1152">
        <v>610</v>
      </c>
      <c r="C270" s="1153" t="s">
        <v>688</v>
      </c>
      <c r="D270" s="1154"/>
      <c r="E270" s="1188">
        <v>0</v>
      </c>
      <c r="F270" s="1189">
        <v>0</v>
      </c>
      <c r="G270" s="1189">
        <v>0</v>
      </c>
      <c r="H270" s="1189">
        <v>0</v>
      </c>
      <c r="I270" s="1189">
        <v>0</v>
      </c>
      <c r="J270" s="1189">
        <v>0</v>
      </c>
      <c r="K270" s="1189">
        <v>0</v>
      </c>
      <c r="L270" s="1160">
        <v>0</v>
      </c>
      <c r="M270" s="1160">
        <v>0</v>
      </c>
      <c r="N270" s="1160">
        <v>0</v>
      </c>
      <c r="O270" s="1160">
        <v>0</v>
      </c>
      <c r="P270" s="1160">
        <v>0</v>
      </c>
      <c r="Q270" s="1160">
        <v>0</v>
      </c>
      <c r="R270" s="1160">
        <v>0</v>
      </c>
      <c r="S270" s="1160">
        <v>0</v>
      </c>
      <c r="T270" s="1160">
        <v>0</v>
      </c>
      <c r="U270" s="1160">
        <v>0</v>
      </c>
      <c r="V270" s="1160">
        <v>0</v>
      </c>
      <c r="W270" s="1160">
        <v>0</v>
      </c>
      <c r="X270" s="1160">
        <v>0</v>
      </c>
      <c r="Y270" s="1160">
        <v>0</v>
      </c>
      <c r="Z270" s="1160">
        <v>0</v>
      </c>
      <c r="AA270" s="1160">
        <v>0</v>
      </c>
      <c r="AB270" s="1160">
        <v>0</v>
      </c>
      <c r="AC270" s="1160">
        <v>0</v>
      </c>
      <c r="AD270" s="1160">
        <v>0</v>
      </c>
      <c r="AE270" s="1160">
        <v>0</v>
      </c>
      <c r="AF270" s="1160">
        <v>0</v>
      </c>
      <c r="AG270" s="1160">
        <v>0</v>
      </c>
      <c r="AH270" s="1160">
        <v>0</v>
      </c>
      <c r="AI270" s="1160">
        <v>0</v>
      </c>
      <c r="AJ270" s="1160">
        <v>0</v>
      </c>
      <c r="AK270" s="1160">
        <v>0</v>
      </c>
      <c r="AL270" s="1160">
        <v>0</v>
      </c>
      <c r="AM270" s="1160">
        <v>0</v>
      </c>
      <c r="AN270" s="1160">
        <v>0</v>
      </c>
      <c r="AO270" s="1160">
        <v>0</v>
      </c>
      <c r="AP270" s="1160">
        <v>0</v>
      </c>
      <c r="AQ270" s="1160">
        <v>0</v>
      </c>
      <c r="AR270" s="1160">
        <v>0</v>
      </c>
      <c r="AS270" s="1160">
        <v>0</v>
      </c>
      <c r="AT270" s="1160">
        <v>0</v>
      </c>
      <c r="AU270" s="1160">
        <v>0</v>
      </c>
      <c r="AV270" s="1160">
        <v>0</v>
      </c>
      <c r="AW270" s="1160">
        <v>0</v>
      </c>
      <c r="AX270" s="1160">
        <v>0</v>
      </c>
      <c r="AY270" s="1160">
        <v>0</v>
      </c>
      <c r="AZ270" s="1160">
        <v>0</v>
      </c>
      <c r="BA270" s="1160">
        <v>0</v>
      </c>
      <c r="BB270" s="1160">
        <v>0</v>
      </c>
      <c r="BC270" s="1160">
        <v>0</v>
      </c>
      <c r="BD270" s="1160">
        <v>0</v>
      </c>
      <c r="BE270" s="1160">
        <v>0</v>
      </c>
      <c r="BF270" s="1160">
        <v>0</v>
      </c>
      <c r="BG270" s="1160">
        <v>0</v>
      </c>
      <c r="BH270" s="1160">
        <v>0</v>
      </c>
      <c r="BI270" s="1160">
        <v>0</v>
      </c>
      <c r="BJ270" s="1160">
        <v>0</v>
      </c>
      <c r="BK270" s="1160">
        <v>0</v>
      </c>
      <c r="BL270" s="1160">
        <v>0</v>
      </c>
      <c r="BM270" s="1160">
        <v>0</v>
      </c>
      <c r="BN270" s="1160">
        <v>0</v>
      </c>
      <c r="BO270" s="1160">
        <v>0</v>
      </c>
      <c r="BP270" s="1160">
        <v>0</v>
      </c>
      <c r="BQ270" s="1160">
        <v>0</v>
      </c>
      <c r="BR270" s="1160">
        <v>0</v>
      </c>
      <c r="BS270" s="1160">
        <v>0</v>
      </c>
      <c r="BT270" s="1160">
        <v>0</v>
      </c>
      <c r="BU270" s="1160">
        <v>0</v>
      </c>
      <c r="BV270" s="1160">
        <v>0</v>
      </c>
      <c r="BW270" s="1160">
        <v>0</v>
      </c>
      <c r="BX270" s="1160">
        <v>0</v>
      </c>
      <c r="BY270" s="1160">
        <v>0</v>
      </c>
      <c r="BZ270" s="1160">
        <v>0</v>
      </c>
      <c r="CA270" s="1160">
        <v>0</v>
      </c>
      <c r="CB270" s="1160">
        <v>0</v>
      </c>
    </row>
    <row r="271" spans="1:80" s="1156" customFormat="1" x14ac:dyDescent="0.3">
      <c r="A271" s="1152">
        <v>611</v>
      </c>
      <c r="B271" s="1152">
        <v>611</v>
      </c>
      <c r="C271" s="1153" t="s">
        <v>689</v>
      </c>
      <c r="D271" s="1154"/>
      <c r="E271" s="1188">
        <v>0</v>
      </c>
      <c r="F271" s="1189">
        <v>0</v>
      </c>
      <c r="G271" s="1189">
        <v>0</v>
      </c>
      <c r="H271" s="1189">
        <v>0</v>
      </c>
      <c r="I271" s="1189">
        <v>0</v>
      </c>
      <c r="J271" s="1189">
        <v>0</v>
      </c>
      <c r="K271" s="1189">
        <v>0</v>
      </c>
      <c r="L271" s="1160">
        <v>0</v>
      </c>
      <c r="M271" s="1160">
        <v>0</v>
      </c>
      <c r="N271" s="1160">
        <v>0</v>
      </c>
      <c r="O271" s="1160">
        <v>0</v>
      </c>
      <c r="P271" s="1160">
        <v>0</v>
      </c>
      <c r="Q271" s="1160">
        <v>0</v>
      </c>
      <c r="R271" s="1160">
        <v>0</v>
      </c>
      <c r="S271" s="1160">
        <v>0</v>
      </c>
      <c r="T271" s="1160">
        <v>0</v>
      </c>
      <c r="U271" s="1160">
        <v>0</v>
      </c>
      <c r="V271" s="1160">
        <v>0</v>
      </c>
      <c r="W271" s="1160">
        <v>0</v>
      </c>
      <c r="X271" s="1160">
        <v>0</v>
      </c>
      <c r="Y271" s="1160">
        <v>0</v>
      </c>
      <c r="Z271" s="1160">
        <v>0</v>
      </c>
      <c r="AA271" s="1160">
        <v>0</v>
      </c>
      <c r="AB271" s="1160">
        <v>0</v>
      </c>
      <c r="AC271" s="1160">
        <v>0</v>
      </c>
      <c r="AD271" s="1160">
        <v>0</v>
      </c>
      <c r="AE271" s="1160">
        <v>0</v>
      </c>
      <c r="AF271" s="1160">
        <v>0</v>
      </c>
      <c r="AG271" s="1160">
        <v>0</v>
      </c>
      <c r="AH271" s="1160">
        <v>0</v>
      </c>
      <c r="AI271" s="1160">
        <v>0</v>
      </c>
      <c r="AJ271" s="1160">
        <v>0</v>
      </c>
      <c r="AK271" s="1160">
        <v>0</v>
      </c>
      <c r="AL271" s="1160">
        <v>0</v>
      </c>
      <c r="AM271" s="1160">
        <v>0</v>
      </c>
      <c r="AN271" s="1160">
        <v>0</v>
      </c>
      <c r="AO271" s="1160">
        <v>0</v>
      </c>
      <c r="AP271" s="1160">
        <v>0</v>
      </c>
      <c r="AQ271" s="1160">
        <v>0</v>
      </c>
      <c r="AR271" s="1160">
        <v>0</v>
      </c>
      <c r="AS271" s="1160">
        <v>0</v>
      </c>
      <c r="AT271" s="1160">
        <v>0</v>
      </c>
      <c r="AU271" s="1160">
        <v>0</v>
      </c>
      <c r="AV271" s="1160">
        <v>0</v>
      </c>
      <c r="AW271" s="1160">
        <v>0</v>
      </c>
      <c r="AX271" s="1160">
        <v>0</v>
      </c>
      <c r="AY271" s="1160">
        <v>0</v>
      </c>
      <c r="AZ271" s="1160">
        <v>0</v>
      </c>
      <c r="BA271" s="1160">
        <v>0</v>
      </c>
      <c r="BB271" s="1160">
        <v>0</v>
      </c>
      <c r="BC271" s="1160">
        <v>0</v>
      </c>
      <c r="BD271" s="1160">
        <v>0</v>
      </c>
      <c r="BE271" s="1160">
        <v>0</v>
      </c>
      <c r="BF271" s="1160">
        <v>0</v>
      </c>
      <c r="BG271" s="1160">
        <v>0</v>
      </c>
      <c r="BH271" s="1160">
        <v>0</v>
      </c>
      <c r="BI271" s="1160">
        <v>0</v>
      </c>
      <c r="BJ271" s="1160">
        <v>0</v>
      </c>
      <c r="BK271" s="1160">
        <v>0</v>
      </c>
      <c r="BL271" s="1160">
        <v>0</v>
      </c>
      <c r="BM271" s="1160">
        <v>0</v>
      </c>
      <c r="BN271" s="1160">
        <v>0</v>
      </c>
      <c r="BO271" s="1160">
        <v>0</v>
      </c>
      <c r="BP271" s="1160">
        <v>0</v>
      </c>
      <c r="BQ271" s="1160">
        <v>0</v>
      </c>
      <c r="BR271" s="1160">
        <v>0</v>
      </c>
      <c r="BS271" s="1160">
        <v>0</v>
      </c>
      <c r="BT271" s="1160">
        <v>0</v>
      </c>
      <c r="BU271" s="1160">
        <v>0</v>
      </c>
      <c r="BV271" s="1160">
        <v>0</v>
      </c>
      <c r="BW271" s="1160">
        <v>0</v>
      </c>
      <c r="BX271" s="1160">
        <v>0</v>
      </c>
      <c r="BY271" s="1160">
        <v>0</v>
      </c>
      <c r="BZ271" s="1160">
        <v>0</v>
      </c>
      <c r="CA271" s="1160">
        <v>0</v>
      </c>
      <c r="CB271" s="1160">
        <v>0</v>
      </c>
    </row>
    <row r="272" spans="1:80" s="1156" customFormat="1" ht="28.8" x14ac:dyDescent="0.3">
      <c r="A272" s="1152">
        <v>612</v>
      </c>
      <c r="B272" s="1152">
        <v>612</v>
      </c>
      <c r="C272" s="1153" t="s">
        <v>709</v>
      </c>
      <c r="D272" s="1154"/>
      <c r="E272" s="1200">
        <v>0</v>
      </c>
      <c r="F272" s="1201">
        <v>0</v>
      </c>
      <c r="G272" s="1201">
        <v>0</v>
      </c>
      <c r="H272" s="1201">
        <v>0</v>
      </c>
      <c r="I272" s="1201">
        <v>0</v>
      </c>
      <c r="J272" s="1201">
        <v>0</v>
      </c>
      <c r="K272" s="1201">
        <v>0</v>
      </c>
      <c r="L272" s="1202">
        <v>0</v>
      </c>
      <c r="M272" s="1202">
        <v>0</v>
      </c>
      <c r="N272" s="1202">
        <v>0</v>
      </c>
      <c r="O272" s="1202">
        <v>0</v>
      </c>
      <c r="P272" s="1202">
        <v>0</v>
      </c>
      <c r="Q272" s="1202">
        <v>0</v>
      </c>
      <c r="R272" s="1202">
        <v>0</v>
      </c>
      <c r="S272" s="1202">
        <v>0</v>
      </c>
      <c r="T272" s="1202">
        <v>0</v>
      </c>
      <c r="U272" s="1202">
        <v>0</v>
      </c>
      <c r="V272" s="1202">
        <v>0</v>
      </c>
      <c r="W272" s="1202">
        <v>0</v>
      </c>
      <c r="X272" s="1202">
        <v>0</v>
      </c>
      <c r="Y272" s="1202">
        <v>0</v>
      </c>
      <c r="Z272" s="1202">
        <v>0</v>
      </c>
      <c r="AA272" s="1202">
        <v>0</v>
      </c>
      <c r="AB272" s="1202">
        <v>0</v>
      </c>
      <c r="AC272" s="1202">
        <v>0</v>
      </c>
      <c r="AD272" s="1202">
        <v>0</v>
      </c>
      <c r="AE272" s="1202">
        <v>0</v>
      </c>
      <c r="AF272" s="1202">
        <v>0</v>
      </c>
      <c r="AG272" s="1202">
        <v>0</v>
      </c>
      <c r="AH272" s="1202">
        <v>0</v>
      </c>
      <c r="AI272" s="1202">
        <v>0</v>
      </c>
      <c r="AJ272" s="1202">
        <v>0</v>
      </c>
      <c r="AK272" s="1202">
        <v>0</v>
      </c>
      <c r="AL272" s="1202">
        <v>0</v>
      </c>
      <c r="AM272" s="1202">
        <v>0</v>
      </c>
      <c r="AN272" s="1202">
        <v>0</v>
      </c>
      <c r="AO272" s="1202">
        <v>0</v>
      </c>
      <c r="AP272" s="1202">
        <v>0</v>
      </c>
      <c r="AQ272" s="1202">
        <v>0</v>
      </c>
      <c r="AR272" s="1202">
        <v>0</v>
      </c>
      <c r="AS272" s="1202">
        <v>0</v>
      </c>
      <c r="AT272" s="1202">
        <v>0</v>
      </c>
      <c r="AU272" s="1202">
        <v>0</v>
      </c>
      <c r="AV272" s="1202">
        <v>0</v>
      </c>
      <c r="AW272" s="1202">
        <v>0</v>
      </c>
      <c r="AX272" s="1202">
        <v>0</v>
      </c>
      <c r="AY272" s="1202">
        <v>0</v>
      </c>
      <c r="AZ272" s="1202">
        <v>0</v>
      </c>
      <c r="BA272" s="1202">
        <v>0</v>
      </c>
      <c r="BB272" s="1202">
        <v>0</v>
      </c>
      <c r="BC272" s="1202">
        <v>0</v>
      </c>
      <c r="BD272" s="1202">
        <v>0</v>
      </c>
      <c r="BE272" s="1202">
        <v>0</v>
      </c>
      <c r="BF272" s="1202">
        <v>0</v>
      </c>
      <c r="BG272" s="1202">
        <v>0</v>
      </c>
      <c r="BH272" s="1202">
        <v>0</v>
      </c>
      <c r="BI272" s="1202">
        <v>0</v>
      </c>
      <c r="BJ272" s="1202">
        <v>0</v>
      </c>
      <c r="BK272" s="1202">
        <v>0</v>
      </c>
      <c r="BL272" s="1202">
        <v>0</v>
      </c>
      <c r="BM272" s="1202">
        <v>0</v>
      </c>
      <c r="BN272" s="1202">
        <v>0</v>
      </c>
      <c r="BO272" s="1202">
        <v>0</v>
      </c>
      <c r="BP272" s="1202">
        <v>0</v>
      </c>
      <c r="BQ272" s="1202">
        <v>0</v>
      </c>
      <c r="BR272" s="1202">
        <v>0</v>
      </c>
      <c r="BS272" s="1202">
        <v>0</v>
      </c>
      <c r="BT272" s="1202">
        <v>0</v>
      </c>
      <c r="BU272" s="1202">
        <v>0</v>
      </c>
      <c r="BV272" s="1202">
        <v>0</v>
      </c>
      <c r="BW272" s="1202">
        <v>0</v>
      </c>
      <c r="BX272" s="1202">
        <v>0</v>
      </c>
      <c r="BY272" s="1202">
        <v>0</v>
      </c>
      <c r="BZ272" s="1202">
        <v>0</v>
      </c>
      <c r="CA272" s="1202">
        <v>0</v>
      </c>
      <c r="CB272" s="1202">
        <v>0</v>
      </c>
    </row>
    <row r="273" spans="1:80" s="1156" customFormat="1" x14ac:dyDescent="0.3">
      <c r="A273" s="1152">
        <v>613</v>
      </c>
      <c r="B273" s="1152">
        <v>613</v>
      </c>
      <c r="C273" s="1153" t="s">
        <v>697</v>
      </c>
      <c r="D273" s="1154"/>
      <c r="E273" s="1188">
        <v>0</v>
      </c>
      <c r="F273" s="1189">
        <v>0</v>
      </c>
      <c r="G273" s="1189">
        <v>0</v>
      </c>
      <c r="H273" s="1189">
        <v>0</v>
      </c>
      <c r="I273" s="1189">
        <v>0</v>
      </c>
      <c r="J273" s="1189">
        <v>0</v>
      </c>
      <c r="K273" s="1189">
        <v>0</v>
      </c>
      <c r="L273" s="1160">
        <v>0</v>
      </c>
      <c r="M273" s="1160">
        <v>0</v>
      </c>
      <c r="N273" s="1160">
        <v>0</v>
      </c>
      <c r="O273" s="1160">
        <v>0</v>
      </c>
      <c r="P273" s="1160">
        <v>0</v>
      </c>
      <c r="Q273" s="1160">
        <v>0</v>
      </c>
      <c r="R273" s="1160">
        <v>0</v>
      </c>
      <c r="S273" s="1160">
        <v>0</v>
      </c>
      <c r="T273" s="1160">
        <v>0</v>
      </c>
      <c r="U273" s="1160">
        <v>0</v>
      </c>
      <c r="V273" s="1160">
        <v>0</v>
      </c>
      <c r="W273" s="1160">
        <v>0</v>
      </c>
      <c r="X273" s="1160">
        <v>0</v>
      </c>
      <c r="Y273" s="1160">
        <v>0</v>
      </c>
      <c r="Z273" s="1160">
        <v>0</v>
      </c>
      <c r="AA273" s="1160">
        <v>0</v>
      </c>
      <c r="AB273" s="1160">
        <v>0</v>
      </c>
      <c r="AC273" s="1160">
        <v>0</v>
      </c>
      <c r="AD273" s="1160">
        <v>0</v>
      </c>
      <c r="AE273" s="1160">
        <v>0</v>
      </c>
      <c r="AF273" s="1160">
        <v>0</v>
      </c>
      <c r="AG273" s="1160">
        <v>0</v>
      </c>
      <c r="AH273" s="1160">
        <v>0</v>
      </c>
      <c r="AI273" s="1160">
        <v>0</v>
      </c>
      <c r="AJ273" s="1160">
        <v>0</v>
      </c>
      <c r="AK273" s="1160">
        <v>0</v>
      </c>
      <c r="AL273" s="1160">
        <v>0</v>
      </c>
      <c r="AM273" s="1160">
        <v>0</v>
      </c>
      <c r="AN273" s="1160">
        <v>0</v>
      </c>
      <c r="AO273" s="1160">
        <v>0</v>
      </c>
      <c r="AP273" s="1160">
        <v>0</v>
      </c>
      <c r="AQ273" s="1160">
        <v>0</v>
      </c>
      <c r="AR273" s="1160">
        <v>0</v>
      </c>
      <c r="AS273" s="1160">
        <v>0</v>
      </c>
      <c r="AT273" s="1160">
        <v>0</v>
      </c>
      <c r="AU273" s="1160">
        <v>0</v>
      </c>
      <c r="AV273" s="1160">
        <v>0</v>
      </c>
      <c r="AW273" s="1160">
        <v>0</v>
      </c>
      <c r="AX273" s="1160">
        <v>0</v>
      </c>
      <c r="AY273" s="1160">
        <v>0</v>
      </c>
      <c r="AZ273" s="1160">
        <v>0</v>
      </c>
      <c r="BA273" s="1160">
        <v>0</v>
      </c>
      <c r="BB273" s="1160">
        <v>0</v>
      </c>
      <c r="BC273" s="1160">
        <v>0</v>
      </c>
      <c r="BD273" s="1160">
        <v>0</v>
      </c>
      <c r="BE273" s="1160">
        <v>0</v>
      </c>
      <c r="BF273" s="1160">
        <v>0</v>
      </c>
      <c r="BG273" s="1160">
        <v>0</v>
      </c>
      <c r="BH273" s="1160">
        <v>0</v>
      </c>
      <c r="BI273" s="1160">
        <v>0</v>
      </c>
      <c r="BJ273" s="1160">
        <v>0</v>
      </c>
      <c r="BK273" s="1160">
        <v>0</v>
      </c>
      <c r="BL273" s="1160">
        <v>0</v>
      </c>
      <c r="BM273" s="1160">
        <v>0</v>
      </c>
      <c r="BN273" s="1160">
        <v>0</v>
      </c>
      <c r="BO273" s="1160">
        <v>0</v>
      </c>
      <c r="BP273" s="1160">
        <v>0</v>
      </c>
      <c r="BQ273" s="1160">
        <v>0</v>
      </c>
      <c r="BR273" s="1160">
        <v>0</v>
      </c>
      <c r="BS273" s="1160">
        <v>0</v>
      </c>
      <c r="BT273" s="1160">
        <v>0</v>
      </c>
      <c r="BU273" s="1160">
        <v>0</v>
      </c>
      <c r="BV273" s="1160">
        <v>0</v>
      </c>
      <c r="BW273" s="1160">
        <v>0</v>
      </c>
      <c r="BX273" s="1160">
        <v>0</v>
      </c>
      <c r="BY273" s="1160">
        <v>0</v>
      </c>
      <c r="BZ273" s="1160">
        <v>0</v>
      </c>
      <c r="CA273" s="1160">
        <v>0</v>
      </c>
      <c r="CB273" s="1160">
        <v>0</v>
      </c>
    </row>
    <row r="274" spans="1:80" s="1156" customFormat="1" x14ac:dyDescent="0.3">
      <c r="A274" s="1152">
        <v>614</v>
      </c>
      <c r="B274" s="1152">
        <v>614</v>
      </c>
      <c r="C274" s="1153" t="s">
        <v>690</v>
      </c>
      <c r="D274" s="1154"/>
      <c r="E274" s="1188">
        <v>0</v>
      </c>
      <c r="F274" s="1189">
        <v>0</v>
      </c>
      <c r="G274" s="1189">
        <v>0</v>
      </c>
      <c r="H274" s="1189">
        <v>0</v>
      </c>
      <c r="I274" s="1189">
        <v>0</v>
      </c>
      <c r="J274" s="1189">
        <v>0</v>
      </c>
      <c r="K274" s="1189">
        <v>0</v>
      </c>
      <c r="L274" s="1160">
        <v>0</v>
      </c>
      <c r="M274" s="1160">
        <v>0</v>
      </c>
      <c r="N274" s="1160">
        <v>0</v>
      </c>
      <c r="O274" s="1160">
        <v>0</v>
      </c>
      <c r="P274" s="1160">
        <v>0</v>
      </c>
      <c r="Q274" s="1160">
        <v>0</v>
      </c>
      <c r="R274" s="1160">
        <v>0</v>
      </c>
      <c r="S274" s="1160">
        <v>0</v>
      </c>
      <c r="T274" s="1160">
        <v>0</v>
      </c>
      <c r="U274" s="1160">
        <v>0</v>
      </c>
      <c r="V274" s="1160">
        <v>0</v>
      </c>
      <c r="W274" s="1160">
        <v>0</v>
      </c>
      <c r="X274" s="1160">
        <v>0</v>
      </c>
      <c r="Y274" s="1160">
        <v>0</v>
      </c>
      <c r="Z274" s="1160">
        <v>0</v>
      </c>
      <c r="AA274" s="1160">
        <v>0</v>
      </c>
      <c r="AB274" s="1160">
        <v>0</v>
      </c>
      <c r="AC274" s="1160">
        <v>0</v>
      </c>
      <c r="AD274" s="1160">
        <v>0</v>
      </c>
      <c r="AE274" s="1160">
        <v>0</v>
      </c>
      <c r="AF274" s="1160">
        <v>0</v>
      </c>
      <c r="AG274" s="1160">
        <v>0</v>
      </c>
      <c r="AH274" s="1160">
        <v>0</v>
      </c>
      <c r="AI274" s="1160">
        <v>0</v>
      </c>
      <c r="AJ274" s="1160">
        <v>0</v>
      </c>
      <c r="AK274" s="1160">
        <v>0</v>
      </c>
      <c r="AL274" s="1160">
        <v>0</v>
      </c>
      <c r="AM274" s="1160">
        <v>0</v>
      </c>
      <c r="AN274" s="1160">
        <v>0</v>
      </c>
      <c r="AO274" s="1160">
        <v>0</v>
      </c>
      <c r="AP274" s="1160">
        <v>0</v>
      </c>
      <c r="AQ274" s="1160">
        <v>0</v>
      </c>
      <c r="AR274" s="1160">
        <v>0</v>
      </c>
      <c r="AS274" s="1160">
        <v>0</v>
      </c>
      <c r="AT274" s="1160">
        <v>0</v>
      </c>
      <c r="AU274" s="1160">
        <v>0</v>
      </c>
      <c r="AV274" s="1160">
        <v>0</v>
      </c>
      <c r="AW274" s="1160">
        <v>0</v>
      </c>
      <c r="AX274" s="1160">
        <v>0</v>
      </c>
      <c r="AY274" s="1160">
        <v>0</v>
      </c>
      <c r="AZ274" s="1160">
        <v>0</v>
      </c>
      <c r="BA274" s="1160">
        <v>0</v>
      </c>
      <c r="BB274" s="1160">
        <v>0</v>
      </c>
      <c r="BC274" s="1160">
        <v>0</v>
      </c>
      <c r="BD274" s="1160">
        <v>0</v>
      </c>
      <c r="BE274" s="1160">
        <v>0</v>
      </c>
      <c r="BF274" s="1160">
        <v>0</v>
      </c>
      <c r="BG274" s="1160">
        <v>0</v>
      </c>
      <c r="BH274" s="1160">
        <v>0</v>
      </c>
      <c r="BI274" s="1160">
        <v>0</v>
      </c>
      <c r="BJ274" s="1160">
        <v>0</v>
      </c>
      <c r="BK274" s="1160">
        <v>0</v>
      </c>
      <c r="BL274" s="1160">
        <v>0</v>
      </c>
      <c r="BM274" s="1160">
        <v>0</v>
      </c>
      <c r="BN274" s="1160">
        <v>0</v>
      </c>
      <c r="BO274" s="1160">
        <v>0</v>
      </c>
      <c r="BP274" s="1160">
        <v>0</v>
      </c>
      <c r="BQ274" s="1160">
        <v>0</v>
      </c>
      <c r="BR274" s="1160">
        <v>0</v>
      </c>
      <c r="BS274" s="1160">
        <v>0</v>
      </c>
      <c r="BT274" s="1160">
        <v>0</v>
      </c>
      <c r="BU274" s="1160">
        <v>0</v>
      </c>
      <c r="BV274" s="1160">
        <v>0</v>
      </c>
      <c r="BW274" s="1160">
        <v>0</v>
      </c>
      <c r="BX274" s="1160">
        <v>0</v>
      </c>
      <c r="BY274" s="1160">
        <v>0</v>
      </c>
      <c r="BZ274" s="1160">
        <v>0</v>
      </c>
      <c r="CA274" s="1160">
        <v>0</v>
      </c>
      <c r="CB274" s="1160">
        <v>0</v>
      </c>
    </row>
    <row r="275" spans="1:80" s="1156" customFormat="1" ht="28.8" x14ac:dyDescent="0.3">
      <c r="A275" s="1152">
        <v>615</v>
      </c>
      <c r="B275" s="1152">
        <v>615</v>
      </c>
      <c r="C275" s="1153" t="s">
        <v>710</v>
      </c>
      <c r="D275" s="1154"/>
      <c r="E275" s="1200">
        <v>0</v>
      </c>
      <c r="F275" s="1201">
        <v>0</v>
      </c>
      <c r="G275" s="1201">
        <v>0</v>
      </c>
      <c r="H275" s="1201">
        <v>0</v>
      </c>
      <c r="I275" s="1201">
        <v>0</v>
      </c>
      <c r="J275" s="1201">
        <v>0</v>
      </c>
      <c r="K275" s="1201">
        <v>0</v>
      </c>
      <c r="L275" s="1202">
        <v>0</v>
      </c>
      <c r="M275" s="1202">
        <v>0</v>
      </c>
      <c r="N275" s="1202">
        <v>0</v>
      </c>
      <c r="O275" s="1202">
        <v>0</v>
      </c>
      <c r="P275" s="1202">
        <v>0</v>
      </c>
      <c r="Q275" s="1202">
        <v>0</v>
      </c>
      <c r="R275" s="1202">
        <v>0</v>
      </c>
      <c r="S275" s="1202">
        <v>0</v>
      </c>
      <c r="T275" s="1202">
        <v>0</v>
      </c>
      <c r="U275" s="1202">
        <v>0</v>
      </c>
      <c r="V275" s="1202">
        <v>0</v>
      </c>
      <c r="W275" s="1202">
        <v>0</v>
      </c>
      <c r="X275" s="1202">
        <v>0</v>
      </c>
      <c r="Y275" s="1202">
        <v>0</v>
      </c>
      <c r="Z275" s="1202">
        <v>0</v>
      </c>
      <c r="AA275" s="1202">
        <v>0</v>
      </c>
      <c r="AB275" s="1202">
        <v>0</v>
      </c>
      <c r="AC275" s="1202">
        <v>0</v>
      </c>
      <c r="AD275" s="1202">
        <v>0</v>
      </c>
      <c r="AE275" s="1202">
        <v>0</v>
      </c>
      <c r="AF275" s="1202">
        <v>0</v>
      </c>
      <c r="AG275" s="1202">
        <v>0</v>
      </c>
      <c r="AH275" s="1202">
        <v>0</v>
      </c>
      <c r="AI275" s="1202">
        <v>0</v>
      </c>
      <c r="AJ275" s="1202">
        <v>0</v>
      </c>
      <c r="AK275" s="1202">
        <v>0</v>
      </c>
      <c r="AL275" s="1202">
        <v>0</v>
      </c>
      <c r="AM275" s="1202">
        <v>0</v>
      </c>
      <c r="AN275" s="1202">
        <v>0</v>
      </c>
      <c r="AO275" s="1202">
        <v>0</v>
      </c>
      <c r="AP275" s="1202">
        <v>0</v>
      </c>
      <c r="AQ275" s="1202">
        <v>0</v>
      </c>
      <c r="AR275" s="1202">
        <v>0</v>
      </c>
      <c r="AS275" s="1202">
        <v>0</v>
      </c>
      <c r="AT275" s="1202">
        <v>0</v>
      </c>
      <c r="AU275" s="1202">
        <v>0</v>
      </c>
      <c r="AV275" s="1202">
        <v>0</v>
      </c>
      <c r="AW275" s="1202">
        <v>0</v>
      </c>
      <c r="AX275" s="1202">
        <v>0</v>
      </c>
      <c r="AY275" s="1202">
        <v>0</v>
      </c>
      <c r="AZ275" s="1202">
        <v>0</v>
      </c>
      <c r="BA275" s="1202">
        <v>0</v>
      </c>
      <c r="BB275" s="1202">
        <v>0</v>
      </c>
      <c r="BC275" s="1202">
        <v>0</v>
      </c>
      <c r="BD275" s="1202">
        <v>0</v>
      </c>
      <c r="BE275" s="1202">
        <v>0</v>
      </c>
      <c r="BF275" s="1202">
        <v>0</v>
      </c>
      <c r="BG275" s="1202">
        <v>0</v>
      </c>
      <c r="BH275" s="1202">
        <v>0</v>
      </c>
      <c r="BI275" s="1202">
        <v>0</v>
      </c>
      <c r="BJ275" s="1202">
        <v>0</v>
      </c>
      <c r="BK275" s="1202">
        <v>0</v>
      </c>
      <c r="BL275" s="1202">
        <v>0</v>
      </c>
      <c r="BM275" s="1202">
        <v>0</v>
      </c>
      <c r="BN275" s="1202">
        <v>0</v>
      </c>
      <c r="BO275" s="1202">
        <v>0</v>
      </c>
      <c r="BP275" s="1202">
        <v>0</v>
      </c>
      <c r="BQ275" s="1202">
        <v>0</v>
      </c>
      <c r="BR275" s="1202">
        <v>0</v>
      </c>
      <c r="BS275" s="1202">
        <v>0</v>
      </c>
      <c r="BT275" s="1202">
        <v>0</v>
      </c>
      <c r="BU275" s="1202">
        <v>0</v>
      </c>
      <c r="BV275" s="1202">
        <v>0</v>
      </c>
      <c r="BW275" s="1202">
        <v>0</v>
      </c>
      <c r="BX275" s="1202">
        <v>0</v>
      </c>
      <c r="BY275" s="1202">
        <v>0</v>
      </c>
      <c r="BZ275" s="1202">
        <v>0</v>
      </c>
      <c r="CA275" s="1202">
        <v>0</v>
      </c>
      <c r="CB275" s="1202">
        <v>0</v>
      </c>
    </row>
    <row r="276" spans="1:80" s="1156" customFormat="1" x14ac:dyDescent="0.3">
      <c r="A276" s="1152">
        <v>616</v>
      </c>
      <c r="B276" s="1152">
        <v>616</v>
      </c>
      <c r="C276" s="1153" t="s">
        <v>691</v>
      </c>
      <c r="D276" s="1154"/>
      <c r="E276" s="1188">
        <v>0</v>
      </c>
      <c r="F276" s="1189">
        <v>0</v>
      </c>
      <c r="G276" s="1189">
        <v>0</v>
      </c>
      <c r="H276" s="1189">
        <v>0</v>
      </c>
      <c r="I276" s="1189">
        <v>0</v>
      </c>
      <c r="J276" s="1189">
        <v>0</v>
      </c>
      <c r="K276" s="1189">
        <v>0</v>
      </c>
      <c r="L276" s="1160">
        <v>0</v>
      </c>
      <c r="M276" s="1160">
        <v>0</v>
      </c>
      <c r="N276" s="1160">
        <v>0</v>
      </c>
      <c r="O276" s="1160">
        <v>0</v>
      </c>
      <c r="P276" s="1160">
        <v>0</v>
      </c>
      <c r="Q276" s="1160">
        <v>0</v>
      </c>
      <c r="R276" s="1160">
        <v>0</v>
      </c>
      <c r="S276" s="1160">
        <v>0</v>
      </c>
      <c r="T276" s="1160">
        <v>0</v>
      </c>
      <c r="U276" s="1160">
        <v>0</v>
      </c>
      <c r="V276" s="1160">
        <v>0</v>
      </c>
      <c r="W276" s="1160">
        <v>0</v>
      </c>
      <c r="X276" s="1160">
        <v>0</v>
      </c>
      <c r="Y276" s="1160">
        <v>0</v>
      </c>
      <c r="Z276" s="1160">
        <v>0</v>
      </c>
      <c r="AA276" s="1160">
        <v>0</v>
      </c>
      <c r="AB276" s="1160">
        <v>0</v>
      </c>
      <c r="AC276" s="1160">
        <v>0</v>
      </c>
      <c r="AD276" s="1160">
        <v>0</v>
      </c>
      <c r="AE276" s="1160">
        <v>0</v>
      </c>
      <c r="AF276" s="1160">
        <v>0</v>
      </c>
      <c r="AG276" s="1160">
        <v>0</v>
      </c>
      <c r="AH276" s="1160">
        <v>0</v>
      </c>
      <c r="AI276" s="1160">
        <v>0</v>
      </c>
      <c r="AJ276" s="1160">
        <v>0</v>
      </c>
      <c r="AK276" s="1160">
        <v>0</v>
      </c>
      <c r="AL276" s="1160">
        <v>0</v>
      </c>
      <c r="AM276" s="1160">
        <v>0</v>
      </c>
      <c r="AN276" s="1160">
        <v>0</v>
      </c>
      <c r="AO276" s="1160">
        <v>0</v>
      </c>
      <c r="AP276" s="1160">
        <v>0</v>
      </c>
      <c r="AQ276" s="1160">
        <v>0</v>
      </c>
      <c r="AR276" s="1160">
        <v>0</v>
      </c>
      <c r="AS276" s="1160">
        <v>0</v>
      </c>
      <c r="AT276" s="1160">
        <v>0</v>
      </c>
      <c r="AU276" s="1160">
        <v>0</v>
      </c>
      <c r="AV276" s="1160">
        <v>0</v>
      </c>
      <c r="AW276" s="1160">
        <v>0</v>
      </c>
      <c r="AX276" s="1160">
        <v>0</v>
      </c>
      <c r="AY276" s="1160">
        <v>0</v>
      </c>
      <c r="AZ276" s="1160">
        <v>0</v>
      </c>
      <c r="BA276" s="1160">
        <v>0</v>
      </c>
      <c r="BB276" s="1160">
        <v>0</v>
      </c>
      <c r="BC276" s="1160">
        <v>0</v>
      </c>
      <c r="BD276" s="1160">
        <v>0</v>
      </c>
      <c r="BE276" s="1160">
        <v>0</v>
      </c>
      <c r="BF276" s="1160">
        <v>0</v>
      </c>
      <c r="BG276" s="1160">
        <v>0</v>
      </c>
      <c r="BH276" s="1160">
        <v>0</v>
      </c>
      <c r="BI276" s="1160">
        <v>0</v>
      </c>
      <c r="BJ276" s="1160">
        <v>0</v>
      </c>
      <c r="BK276" s="1160">
        <v>0</v>
      </c>
      <c r="BL276" s="1160">
        <v>0</v>
      </c>
      <c r="BM276" s="1160">
        <v>0</v>
      </c>
      <c r="BN276" s="1160">
        <v>0</v>
      </c>
      <c r="BO276" s="1160">
        <v>0</v>
      </c>
      <c r="BP276" s="1160">
        <v>0</v>
      </c>
      <c r="BQ276" s="1160">
        <v>0</v>
      </c>
      <c r="BR276" s="1160">
        <v>0</v>
      </c>
      <c r="BS276" s="1160">
        <v>0</v>
      </c>
      <c r="BT276" s="1160">
        <v>0</v>
      </c>
      <c r="BU276" s="1160">
        <v>0</v>
      </c>
      <c r="BV276" s="1160">
        <v>0</v>
      </c>
      <c r="BW276" s="1160">
        <v>0</v>
      </c>
      <c r="BX276" s="1160">
        <v>0</v>
      </c>
      <c r="BY276" s="1160">
        <v>0</v>
      </c>
      <c r="BZ276" s="1160">
        <v>0</v>
      </c>
      <c r="CA276" s="1160">
        <v>0</v>
      </c>
      <c r="CB276" s="1160">
        <v>0</v>
      </c>
    </row>
    <row r="277" spans="1:80" s="1156" customFormat="1" x14ac:dyDescent="0.3">
      <c r="A277" s="1152">
        <v>617</v>
      </c>
      <c r="B277" s="1152">
        <v>617</v>
      </c>
      <c r="C277" s="1153" t="s">
        <v>692</v>
      </c>
      <c r="D277" s="1154"/>
      <c r="E277" s="1188">
        <v>0</v>
      </c>
      <c r="F277" s="1189">
        <v>0</v>
      </c>
      <c r="G277" s="1189">
        <v>0</v>
      </c>
      <c r="H277" s="1189">
        <v>0</v>
      </c>
      <c r="I277" s="1189">
        <v>0</v>
      </c>
      <c r="J277" s="1189">
        <v>0</v>
      </c>
      <c r="K277" s="1189">
        <v>0</v>
      </c>
      <c r="L277" s="1160">
        <v>0</v>
      </c>
      <c r="M277" s="1160">
        <v>0</v>
      </c>
      <c r="N277" s="1160">
        <v>0</v>
      </c>
      <c r="O277" s="1160">
        <v>0</v>
      </c>
      <c r="P277" s="1160">
        <v>0</v>
      </c>
      <c r="Q277" s="1160">
        <v>0</v>
      </c>
      <c r="R277" s="1160">
        <v>0</v>
      </c>
      <c r="S277" s="1160">
        <v>0</v>
      </c>
      <c r="T277" s="1160">
        <v>0</v>
      </c>
      <c r="U277" s="1160">
        <v>0</v>
      </c>
      <c r="V277" s="1160">
        <v>0</v>
      </c>
      <c r="W277" s="1160">
        <v>0</v>
      </c>
      <c r="X277" s="1160">
        <v>0</v>
      </c>
      <c r="Y277" s="1160">
        <v>0</v>
      </c>
      <c r="Z277" s="1160">
        <v>0</v>
      </c>
      <c r="AA277" s="1160">
        <v>0</v>
      </c>
      <c r="AB277" s="1160">
        <v>0</v>
      </c>
      <c r="AC277" s="1160">
        <v>0</v>
      </c>
      <c r="AD277" s="1160">
        <v>0</v>
      </c>
      <c r="AE277" s="1160">
        <v>0</v>
      </c>
      <c r="AF277" s="1160">
        <v>0</v>
      </c>
      <c r="AG277" s="1160">
        <v>0</v>
      </c>
      <c r="AH277" s="1160">
        <v>0</v>
      </c>
      <c r="AI277" s="1160">
        <v>0</v>
      </c>
      <c r="AJ277" s="1160">
        <v>0</v>
      </c>
      <c r="AK277" s="1160">
        <v>0</v>
      </c>
      <c r="AL277" s="1160">
        <v>0</v>
      </c>
      <c r="AM277" s="1160">
        <v>0</v>
      </c>
      <c r="AN277" s="1160">
        <v>0</v>
      </c>
      <c r="AO277" s="1160">
        <v>0</v>
      </c>
      <c r="AP277" s="1160">
        <v>0</v>
      </c>
      <c r="AQ277" s="1160">
        <v>0</v>
      </c>
      <c r="AR277" s="1160">
        <v>0</v>
      </c>
      <c r="AS277" s="1160">
        <v>0</v>
      </c>
      <c r="AT277" s="1160">
        <v>0</v>
      </c>
      <c r="AU277" s="1160">
        <v>0</v>
      </c>
      <c r="AV277" s="1160">
        <v>0</v>
      </c>
      <c r="AW277" s="1160">
        <v>0</v>
      </c>
      <c r="AX277" s="1160">
        <v>0</v>
      </c>
      <c r="AY277" s="1160">
        <v>0</v>
      </c>
      <c r="AZ277" s="1160">
        <v>0</v>
      </c>
      <c r="BA277" s="1160">
        <v>0</v>
      </c>
      <c r="BB277" s="1160">
        <v>0</v>
      </c>
      <c r="BC277" s="1160">
        <v>0</v>
      </c>
      <c r="BD277" s="1160">
        <v>0</v>
      </c>
      <c r="BE277" s="1160">
        <v>0</v>
      </c>
      <c r="BF277" s="1160">
        <v>0</v>
      </c>
      <c r="BG277" s="1160">
        <v>0</v>
      </c>
      <c r="BH277" s="1160">
        <v>0</v>
      </c>
      <c r="BI277" s="1160">
        <v>0</v>
      </c>
      <c r="BJ277" s="1160">
        <v>0</v>
      </c>
      <c r="BK277" s="1160">
        <v>0</v>
      </c>
      <c r="BL277" s="1160">
        <v>0</v>
      </c>
      <c r="BM277" s="1160">
        <v>0</v>
      </c>
      <c r="BN277" s="1160">
        <v>0</v>
      </c>
      <c r="BO277" s="1160">
        <v>0</v>
      </c>
      <c r="BP277" s="1160">
        <v>0</v>
      </c>
      <c r="BQ277" s="1160">
        <v>0</v>
      </c>
      <c r="BR277" s="1160">
        <v>0</v>
      </c>
      <c r="BS277" s="1160">
        <v>0</v>
      </c>
      <c r="BT277" s="1160">
        <v>0</v>
      </c>
      <c r="BU277" s="1160">
        <v>0</v>
      </c>
      <c r="BV277" s="1160">
        <v>0</v>
      </c>
      <c r="BW277" s="1160">
        <v>0</v>
      </c>
      <c r="BX277" s="1160">
        <v>0</v>
      </c>
      <c r="BY277" s="1160">
        <v>0</v>
      </c>
      <c r="BZ277" s="1160">
        <v>0</v>
      </c>
      <c r="CA277" s="1160">
        <v>0</v>
      </c>
      <c r="CB277" s="1160">
        <v>0</v>
      </c>
    </row>
    <row r="278" spans="1:80" s="1156" customFormat="1" ht="28.8" x14ac:dyDescent="0.3">
      <c r="A278" s="1152">
        <v>618</v>
      </c>
      <c r="B278" s="1152">
        <v>618</v>
      </c>
      <c r="C278" s="1153" t="s">
        <v>711</v>
      </c>
      <c r="D278" s="1154"/>
      <c r="E278" s="1200">
        <v>0</v>
      </c>
      <c r="F278" s="1201">
        <v>0</v>
      </c>
      <c r="G278" s="1201">
        <v>0</v>
      </c>
      <c r="H278" s="1201">
        <v>0</v>
      </c>
      <c r="I278" s="1201">
        <v>0</v>
      </c>
      <c r="J278" s="1201">
        <v>0</v>
      </c>
      <c r="K278" s="1201">
        <v>0</v>
      </c>
      <c r="L278" s="1202">
        <v>0</v>
      </c>
      <c r="M278" s="1202">
        <v>0</v>
      </c>
      <c r="N278" s="1202">
        <v>0</v>
      </c>
      <c r="O278" s="1202">
        <v>0</v>
      </c>
      <c r="P278" s="1202">
        <v>0</v>
      </c>
      <c r="Q278" s="1202">
        <v>0</v>
      </c>
      <c r="R278" s="1202">
        <v>0</v>
      </c>
      <c r="S278" s="1202">
        <v>0</v>
      </c>
      <c r="T278" s="1202">
        <v>0</v>
      </c>
      <c r="U278" s="1202">
        <v>0</v>
      </c>
      <c r="V278" s="1202">
        <v>0</v>
      </c>
      <c r="W278" s="1202">
        <v>0</v>
      </c>
      <c r="X278" s="1202">
        <v>0</v>
      </c>
      <c r="Y278" s="1202">
        <v>0</v>
      </c>
      <c r="Z278" s="1202">
        <v>0</v>
      </c>
      <c r="AA278" s="1202">
        <v>0</v>
      </c>
      <c r="AB278" s="1202">
        <v>0</v>
      </c>
      <c r="AC278" s="1202">
        <v>0</v>
      </c>
      <c r="AD278" s="1202">
        <v>0</v>
      </c>
      <c r="AE278" s="1202">
        <v>0</v>
      </c>
      <c r="AF278" s="1202">
        <v>0</v>
      </c>
      <c r="AG278" s="1202">
        <v>0</v>
      </c>
      <c r="AH278" s="1202">
        <v>0</v>
      </c>
      <c r="AI278" s="1202">
        <v>0</v>
      </c>
      <c r="AJ278" s="1202">
        <v>0</v>
      </c>
      <c r="AK278" s="1202">
        <v>0</v>
      </c>
      <c r="AL278" s="1202">
        <v>0</v>
      </c>
      <c r="AM278" s="1202">
        <v>0</v>
      </c>
      <c r="AN278" s="1202">
        <v>0</v>
      </c>
      <c r="AO278" s="1202">
        <v>0</v>
      </c>
      <c r="AP278" s="1202">
        <v>0</v>
      </c>
      <c r="AQ278" s="1202">
        <v>0</v>
      </c>
      <c r="AR278" s="1202">
        <v>0</v>
      </c>
      <c r="AS278" s="1202">
        <v>0</v>
      </c>
      <c r="AT278" s="1202">
        <v>0</v>
      </c>
      <c r="AU278" s="1202">
        <v>0</v>
      </c>
      <c r="AV278" s="1202">
        <v>0</v>
      </c>
      <c r="AW278" s="1202">
        <v>0</v>
      </c>
      <c r="AX278" s="1202">
        <v>0</v>
      </c>
      <c r="AY278" s="1202">
        <v>0</v>
      </c>
      <c r="AZ278" s="1202">
        <v>0</v>
      </c>
      <c r="BA278" s="1202">
        <v>0</v>
      </c>
      <c r="BB278" s="1202">
        <v>0</v>
      </c>
      <c r="BC278" s="1202">
        <v>0</v>
      </c>
      <c r="BD278" s="1202">
        <v>0</v>
      </c>
      <c r="BE278" s="1202">
        <v>0</v>
      </c>
      <c r="BF278" s="1202">
        <v>0</v>
      </c>
      <c r="BG278" s="1202">
        <v>0</v>
      </c>
      <c r="BH278" s="1202">
        <v>0</v>
      </c>
      <c r="BI278" s="1202">
        <v>0</v>
      </c>
      <c r="BJ278" s="1202">
        <v>0</v>
      </c>
      <c r="BK278" s="1202">
        <v>0</v>
      </c>
      <c r="BL278" s="1202">
        <v>0</v>
      </c>
      <c r="BM278" s="1202">
        <v>0</v>
      </c>
      <c r="BN278" s="1202">
        <v>0</v>
      </c>
      <c r="BO278" s="1202">
        <v>0</v>
      </c>
      <c r="BP278" s="1202">
        <v>0</v>
      </c>
      <c r="BQ278" s="1202">
        <v>0</v>
      </c>
      <c r="BR278" s="1202">
        <v>0</v>
      </c>
      <c r="BS278" s="1202">
        <v>0</v>
      </c>
      <c r="BT278" s="1202">
        <v>0</v>
      </c>
      <c r="BU278" s="1202">
        <v>0</v>
      </c>
      <c r="BV278" s="1202">
        <v>0</v>
      </c>
      <c r="BW278" s="1202">
        <v>0</v>
      </c>
      <c r="BX278" s="1202">
        <v>0</v>
      </c>
      <c r="BY278" s="1202">
        <v>0</v>
      </c>
      <c r="BZ278" s="1202">
        <v>0</v>
      </c>
      <c r="CA278" s="1202">
        <v>0</v>
      </c>
      <c r="CB278" s="1202">
        <v>0</v>
      </c>
    </row>
    <row r="279" spans="1:80" s="1156" customFormat="1" ht="28.8" x14ac:dyDescent="0.3">
      <c r="A279" s="1152">
        <v>619</v>
      </c>
      <c r="B279" s="1152">
        <v>619</v>
      </c>
      <c r="C279" s="1153" t="s">
        <v>713</v>
      </c>
      <c r="D279" s="1154"/>
      <c r="E279" s="1200">
        <v>0</v>
      </c>
      <c r="F279" s="1201">
        <v>0</v>
      </c>
      <c r="G279" s="1201">
        <v>0</v>
      </c>
      <c r="H279" s="1201">
        <v>0</v>
      </c>
      <c r="I279" s="1201">
        <v>0</v>
      </c>
      <c r="J279" s="1201">
        <v>0</v>
      </c>
      <c r="K279" s="1201">
        <v>0</v>
      </c>
      <c r="L279" s="1202">
        <v>0</v>
      </c>
      <c r="M279" s="1202">
        <v>0</v>
      </c>
      <c r="N279" s="1202">
        <v>0</v>
      </c>
      <c r="O279" s="1202">
        <v>0</v>
      </c>
      <c r="P279" s="1202">
        <v>0</v>
      </c>
      <c r="Q279" s="1202">
        <v>0</v>
      </c>
      <c r="R279" s="1202">
        <v>0</v>
      </c>
      <c r="S279" s="1202">
        <v>0</v>
      </c>
      <c r="T279" s="1202">
        <v>0</v>
      </c>
      <c r="U279" s="1202">
        <v>0</v>
      </c>
      <c r="V279" s="1202">
        <v>0</v>
      </c>
      <c r="W279" s="1202">
        <v>0</v>
      </c>
      <c r="X279" s="1202">
        <v>0</v>
      </c>
      <c r="Y279" s="1202">
        <v>0</v>
      </c>
      <c r="Z279" s="1202">
        <v>0</v>
      </c>
      <c r="AA279" s="1202">
        <v>0</v>
      </c>
      <c r="AB279" s="1202">
        <v>0</v>
      </c>
      <c r="AC279" s="1202">
        <v>0</v>
      </c>
      <c r="AD279" s="1202">
        <v>0</v>
      </c>
      <c r="AE279" s="1202">
        <v>0</v>
      </c>
      <c r="AF279" s="1202">
        <v>0</v>
      </c>
      <c r="AG279" s="1202">
        <v>0</v>
      </c>
      <c r="AH279" s="1202">
        <v>0</v>
      </c>
      <c r="AI279" s="1202">
        <v>0</v>
      </c>
      <c r="AJ279" s="1202">
        <v>0</v>
      </c>
      <c r="AK279" s="1202">
        <v>0</v>
      </c>
      <c r="AL279" s="1202">
        <v>0</v>
      </c>
      <c r="AM279" s="1202">
        <v>0</v>
      </c>
      <c r="AN279" s="1202">
        <v>0</v>
      </c>
      <c r="AO279" s="1202">
        <v>0</v>
      </c>
      <c r="AP279" s="1202">
        <v>0</v>
      </c>
      <c r="AQ279" s="1202">
        <v>0</v>
      </c>
      <c r="AR279" s="1202">
        <v>0</v>
      </c>
      <c r="AS279" s="1202">
        <v>0</v>
      </c>
      <c r="AT279" s="1202">
        <v>0</v>
      </c>
      <c r="AU279" s="1202">
        <v>0</v>
      </c>
      <c r="AV279" s="1202">
        <v>0</v>
      </c>
      <c r="AW279" s="1202">
        <v>0</v>
      </c>
      <c r="AX279" s="1202">
        <v>0</v>
      </c>
      <c r="AY279" s="1202">
        <v>0</v>
      </c>
      <c r="AZ279" s="1202">
        <v>0</v>
      </c>
      <c r="BA279" s="1202">
        <v>0</v>
      </c>
      <c r="BB279" s="1202">
        <v>0</v>
      </c>
      <c r="BC279" s="1202">
        <v>0</v>
      </c>
      <c r="BD279" s="1202">
        <v>0</v>
      </c>
      <c r="BE279" s="1202">
        <v>0</v>
      </c>
      <c r="BF279" s="1202">
        <v>0</v>
      </c>
      <c r="BG279" s="1202">
        <v>0</v>
      </c>
      <c r="BH279" s="1202">
        <v>0</v>
      </c>
      <c r="BI279" s="1202">
        <v>0</v>
      </c>
      <c r="BJ279" s="1202">
        <v>0</v>
      </c>
      <c r="BK279" s="1202">
        <v>0</v>
      </c>
      <c r="BL279" s="1202">
        <v>0</v>
      </c>
      <c r="BM279" s="1202">
        <v>0</v>
      </c>
      <c r="BN279" s="1202">
        <v>0</v>
      </c>
      <c r="BO279" s="1202">
        <v>0</v>
      </c>
      <c r="BP279" s="1202">
        <v>0</v>
      </c>
      <c r="BQ279" s="1202">
        <v>0</v>
      </c>
      <c r="BR279" s="1202">
        <v>0</v>
      </c>
      <c r="BS279" s="1202">
        <v>0</v>
      </c>
      <c r="BT279" s="1202">
        <v>0</v>
      </c>
      <c r="BU279" s="1202">
        <v>0</v>
      </c>
      <c r="BV279" s="1202">
        <v>0</v>
      </c>
      <c r="BW279" s="1202">
        <v>0</v>
      </c>
      <c r="BX279" s="1202">
        <v>0</v>
      </c>
      <c r="BY279" s="1202">
        <v>0</v>
      </c>
      <c r="BZ279" s="1202">
        <v>0</v>
      </c>
      <c r="CA279" s="1202">
        <v>0</v>
      </c>
      <c r="CB279" s="1202">
        <v>0</v>
      </c>
    </row>
    <row r="280" spans="1:80" s="1156" customFormat="1" ht="43.2" x14ac:dyDescent="0.3">
      <c r="A280" s="1152">
        <v>620</v>
      </c>
      <c r="B280" s="1152">
        <v>620</v>
      </c>
      <c r="C280" s="1153" t="s">
        <v>701</v>
      </c>
      <c r="D280" s="1154"/>
      <c r="E280" s="1200">
        <v>2</v>
      </c>
      <c r="F280" s="1201">
        <v>2</v>
      </c>
      <c r="G280" s="1201">
        <v>0</v>
      </c>
      <c r="H280" s="1201">
        <v>1</v>
      </c>
      <c r="I280" s="1201">
        <v>2</v>
      </c>
      <c r="J280" s="1201">
        <v>2</v>
      </c>
      <c r="K280" s="1201">
        <v>2</v>
      </c>
      <c r="L280" s="1202">
        <v>2</v>
      </c>
      <c r="M280" s="1202">
        <v>1</v>
      </c>
      <c r="N280" s="1202">
        <v>0</v>
      </c>
      <c r="O280" s="1202">
        <v>2</v>
      </c>
      <c r="P280" s="1202">
        <v>2</v>
      </c>
      <c r="Q280" s="1202">
        <v>2</v>
      </c>
      <c r="R280" s="1202">
        <v>2</v>
      </c>
      <c r="S280" s="1202">
        <v>2</v>
      </c>
      <c r="T280" s="1202">
        <v>1</v>
      </c>
      <c r="U280" s="1202">
        <v>0</v>
      </c>
      <c r="V280" s="1202">
        <v>2</v>
      </c>
      <c r="W280" s="1202">
        <v>2</v>
      </c>
      <c r="X280" s="1202">
        <v>2</v>
      </c>
      <c r="Y280" s="1202">
        <v>2</v>
      </c>
      <c r="Z280" s="1202">
        <v>2</v>
      </c>
      <c r="AA280" s="1202">
        <v>1</v>
      </c>
      <c r="AB280" s="1202">
        <v>2</v>
      </c>
      <c r="AC280" s="1202">
        <v>2</v>
      </c>
      <c r="AD280" s="1202">
        <v>1</v>
      </c>
      <c r="AE280" s="1202">
        <v>2</v>
      </c>
      <c r="AF280" s="1202">
        <v>2</v>
      </c>
      <c r="AG280" s="1202">
        <v>2</v>
      </c>
      <c r="AH280" s="1202">
        <v>2</v>
      </c>
      <c r="AI280" s="1202">
        <v>2</v>
      </c>
      <c r="AJ280" s="1202">
        <v>2</v>
      </c>
      <c r="AK280" s="1202">
        <v>2</v>
      </c>
      <c r="AL280" s="1202">
        <v>2</v>
      </c>
      <c r="AM280" s="1202">
        <v>2</v>
      </c>
      <c r="AN280" s="1202">
        <v>2</v>
      </c>
      <c r="AO280" s="1202">
        <v>2</v>
      </c>
      <c r="AP280" s="1202">
        <v>2</v>
      </c>
      <c r="AQ280" s="1202">
        <v>2</v>
      </c>
      <c r="AR280" s="1202">
        <v>2</v>
      </c>
      <c r="AS280" s="1202">
        <v>2</v>
      </c>
      <c r="AT280" s="1202">
        <v>2</v>
      </c>
      <c r="AU280" s="1202">
        <v>2</v>
      </c>
      <c r="AV280" s="1202">
        <v>2</v>
      </c>
      <c r="AW280" s="1202">
        <v>2</v>
      </c>
      <c r="AX280" s="1202">
        <v>2</v>
      </c>
      <c r="AY280" s="1202">
        <v>2</v>
      </c>
      <c r="AZ280" s="1202">
        <v>2</v>
      </c>
      <c r="BA280" s="1202">
        <v>1</v>
      </c>
      <c r="BB280" s="1202">
        <v>2</v>
      </c>
      <c r="BC280" s="1202">
        <v>2</v>
      </c>
      <c r="BD280" s="1202">
        <v>0</v>
      </c>
      <c r="BE280" s="1202">
        <v>2</v>
      </c>
      <c r="BF280" s="1202">
        <v>2</v>
      </c>
      <c r="BG280" s="1202">
        <v>0</v>
      </c>
      <c r="BH280" s="1202">
        <v>2</v>
      </c>
      <c r="BI280" s="1202">
        <v>2</v>
      </c>
      <c r="BJ280" s="1202">
        <v>2</v>
      </c>
      <c r="BK280" s="1202">
        <v>2</v>
      </c>
      <c r="BL280" s="1202">
        <v>2</v>
      </c>
      <c r="BM280" s="1202">
        <v>2</v>
      </c>
      <c r="BN280" s="1202">
        <v>2</v>
      </c>
      <c r="BO280" s="1202">
        <v>2</v>
      </c>
      <c r="BP280" s="1202">
        <v>2</v>
      </c>
      <c r="BQ280" s="1202">
        <v>2</v>
      </c>
      <c r="BR280" s="1202">
        <v>2</v>
      </c>
      <c r="BS280" s="1202">
        <v>2</v>
      </c>
      <c r="BT280" s="1202">
        <v>2</v>
      </c>
      <c r="BU280" s="1202">
        <v>1</v>
      </c>
      <c r="BV280" s="1202">
        <v>2</v>
      </c>
      <c r="BW280" s="1202">
        <v>2</v>
      </c>
      <c r="BX280" s="1202">
        <v>2</v>
      </c>
      <c r="BY280" s="1202">
        <v>2</v>
      </c>
      <c r="BZ280" s="1202">
        <v>2</v>
      </c>
      <c r="CA280" s="1202">
        <v>1</v>
      </c>
      <c r="CB280" s="1202">
        <v>2</v>
      </c>
    </row>
    <row r="281" spans="1:80" s="1156" customFormat="1" x14ac:dyDescent="0.3">
      <c r="A281" s="1152">
        <v>621</v>
      </c>
      <c r="B281" s="1152">
        <v>621</v>
      </c>
      <c r="C281" s="1203" t="s">
        <v>719</v>
      </c>
      <c r="D281" s="1154"/>
      <c r="E281" s="1200">
        <v>0</v>
      </c>
      <c r="F281" s="1201">
        <v>0</v>
      </c>
      <c r="G281" s="1201">
        <v>0</v>
      </c>
      <c r="H281" s="1201">
        <v>0</v>
      </c>
      <c r="I281" s="1201">
        <v>0</v>
      </c>
      <c r="J281" s="1201">
        <v>0</v>
      </c>
      <c r="K281" s="1201">
        <v>0</v>
      </c>
      <c r="L281" s="1202">
        <v>0</v>
      </c>
      <c r="M281" s="1202">
        <v>0</v>
      </c>
      <c r="N281" s="1202">
        <v>0</v>
      </c>
      <c r="O281" s="1202">
        <v>0</v>
      </c>
      <c r="P281" s="1202">
        <v>0</v>
      </c>
      <c r="Q281" s="1202">
        <v>0</v>
      </c>
      <c r="R281" s="1202">
        <v>0</v>
      </c>
      <c r="S281" s="1202">
        <v>0</v>
      </c>
      <c r="T281" s="1202">
        <v>0</v>
      </c>
      <c r="U281" s="1202">
        <v>0</v>
      </c>
      <c r="V281" s="1202">
        <v>4320200</v>
      </c>
      <c r="W281" s="1202">
        <v>0</v>
      </c>
      <c r="X281" s="1202">
        <v>0</v>
      </c>
      <c r="Y281" s="1202">
        <v>0</v>
      </c>
      <c r="Z281" s="1202">
        <v>0</v>
      </c>
      <c r="AA281" s="1202">
        <v>0</v>
      </c>
      <c r="AB281" s="1202">
        <v>2588269</v>
      </c>
      <c r="AC281" s="1202">
        <v>0</v>
      </c>
      <c r="AD281" s="1202">
        <v>0</v>
      </c>
      <c r="AE281" s="1202">
        <v>0</v>
      </c>
      <c r="AF281" s="1202">
        <v>0</v>
      </c>
      <c r="AG281" s="1202">
        <v>0</v>
      </c>
      <c r="AH281" s="1202">
        <v>0</v>
      </c>
      <c r="AI281" s="1202">
        <v>0</v>
      </c>
      <c r="AJ281" s="1202">
        <v>0</v>
      </c>
      <c r="AK281" s="1202">
        <v>0</v>
      </c>
      <c r="AL281" s="1202">
        <v>0</v>
      </c>
      <c r="AM281" s="1202">
        <v>0</v>
      </c>
      <c r="AN281" s="1202">
        <v>0</v>
      </c>
      <c r="AO281" s="1202">
        <v>0</v>
      </c>
      <c r="AP281" s="1202">
        <v>0</v>
      </c>
      <c r="AQ281" s="1202">
        <v>0</v>
      </c>
      <c r="AR281" s="1202">
        <v>0</v>
      </c>
      <c r="AS281" s="1202">
        <v>0</v>
      </c>
      <c r="AT281" s="1202">
        <v>0</v>
      </c>
      <c r="AU281" s="1202">
        <v>0</v>
      </c>
      <c r="AV281" s="1202">
        <v>0</v>
      </c>
      <c r="AW281" s="1202">
        <v>0</v>
      </c>
      <c r="AX281" s="1202">
        <v>0</v>
      </c>
      <c r="AY281" s="1202">
        <v>0</v>
      </c>
      <c r="AZ281" s="1202">
        <v>0</v>
      </c>
      <c r="BA281" s="1202">
        <v>0</v>
      </c>
      <c r="BB281" s="1202">
        <v>0</v>
      </c>
      <c r="BC281" s="1202">
        <v>0</v>
      </c>
      <c r="BD281" s="1202">
        <v>0</v>
      </c>
      <c r="BE281" s="1202">
        <v>0</v>
      </c>
      <c r="BF281" s="1202">
        <v>0</v>
      </c>
      <c r="BG281" s="1202">
        <v>0</v>
      </c>
      <c r="BH281" s="1202">
        <v>0</v>
      </c>
      <c r="BI281" s="1202">
        <v>0</v>
      </c>
      <c r="BJ281" s="1202">
        <v>0</v>
      </c>
      <c r="BK281" s="1202">
        <v>0</v>
      </c>
      <c r="BL281" s="1202">
        <v>0</v>
      </c>
      <c r="BM281" s="1202">
        <v>0</v>
      </c>
      <c r="BN281" s="1202">
        <v>0</v>
      </c>
      <c r="BO281" s="1202">
        <v>0</v>
      </c>
      <c r="BP281" s="1202">
        <v>0</v>
      </c>
      <c r="BQ281" s="1202">
        <v>0</v>
      </c>
      <c r="BR281" s="1202">
        <v>0</v>
      </c>
      <c r="BS281" s="1202">
        <v>0</v>
      </c>
      <c r="BT281" s="1202">
        <v>0</v>
      </c>
      <c r="BU281" s="1202">
        <v>0</v>
      </c>
      <c r="BV281" s="1202">
        <v>0</v>
      </c>
      <c r="BW281" s="1202">
        <v>0</v>
      </c>
      <c r="BX281" s="1202">
        <v>0</v>
      </c>
      <c r="BY281" s="1202">
        <v>0</v>
      </c>
      <c r="BZ281" s="1202">
        <v>0</v>
      </c>
      <c r="CA281" s="1202">
        <v>0</v>
      </c>
      <c r="CB281" s="1202">
        <v>0</v>
      </c>
    </row>
    <row r="282" spans="1:80" s="1156" customFormat="1" x14ac:dyDescent="0.3">
      <c r="A282" s="1152">
        <v>622</v>
      </c>
      <c r="B282" s="1204">
        <v>622</v>
      </c>
      <c r="C282" s="1204" t="s">
        <v>724</v>
      </c>
      <c r="D282" s="1154"/>
      <c r="E282" s="1200">
        <v>512321</v>
      </c>
      <c r="F282" s="1201">
        <v>929879</v>
      </c>
      <c r="G282" s="1201">
        <v>0</v>
      </c>
      <c r="H282" s="1201">
        <v>10355383</v>
      </c>
      <c r="I282" s="1201">
        <v>574314</v>
      </c>
      <c r="J282" s="1201">
        <v>70459</v>
      </c>
      <c r="K282" s="1201">
        <v>276096</v>
      </c>
      <c r="L282" s="1202">
        <v>359116</v>
      </c>
      <c r="M282" s="1202">
        <v>7997778</v>
      </c>
      <c r="N282" s="1202">
        <v>0</v>
      </c>
      <c r="O282" s="1202">
        <v>169863</v>
      </c>
      <c r="P282" s="1202">
        <v>297397</v>
      </c>
      <c r="Q282" s="1202">
        <v>5617233</v>
      </c>
      <c r="R282" s="1202">
        <v>2687500</v>
      </c>
      <c r="S282" s="1202">
        <v>1730039</v>
      </c>
      <c r="T282" s="1202">
        <v>3310698</v>
      </c>
      <c r="U282" s="1202">
        <v>0</v>
      </c>
      <c r="V282" s="1202">
        <v>5561523</v>
      </c>
      <c r="W282" s="1202">
        <v>0</v>
      </c>
      <c r="X282" s="1202">
        <v>1170200</v>
      </c>
      <c r="Y282" s="1202">
        <v>2318826</v>
      </c>
      <c r="Z282" s="1202">
        <v>1057687</v>
      </c>
      <c r="AA282" s="1202">
        <v>373863</v>
      </c>
      <c r="AB282" s="1202">
        <v>687919</v>
      </c>
      <c r="AC282" s="1202">
        <v>0</v>
      </c>
      <c r="AD282" s="1202">
        <v>0</v>
      </c>
      <c r="AE282" s="1202">
        <v>159486</v>
      </c>
      <c r="AF282" s="1202">
        <v>812449</v>
      </c>
      <c r="AG282" s="1202">
        <v>0</v>
      </c>
      <c r="AH282" s="1202">
        <v>0</v>
      </c>
      <c r="AI282" s="1202">
        <v>0</v>
      </c>
      <c r="AJ282" s="1202">
        <v>409365</v>
      </c>
      <c r="AK282" s="1202">
        <v>3024223</v>
      </c>
      <c r="AL282" s="1202">
        <v>23213</v>
      </c>
      <c r="AM282" s="1202">
        <v>0</v>
      </c>
      <c r="AN282" s="1202">
        <v>3533540</v>
      </c>
      <c r="AO282" s="1202">
        <v>4242214</v>
      </c>
      <c r="AP282" s="1202">
        <v>0</v>
      </c>
      <c r="AQ282" s="1202">
        <v>181879</v>
      </c>
      <c r="AR282" s="1202">
        <v>6145940</v>
      </c>
      <c r="AS282" s="1202">
        <v>538540</v>
      </c>
      <c r="AT282" s="1202">
        <v>54072</v>
      </c>
      <c r="AU282" s="1202">
        <v>766843</v>
      </c>
      <c r="AV282" s="1202">
        <v>2591917</v>
      </c>
      <c r="AW282" s="1202">
        <v>11743</v>
      </c>
      <c r="AX282" s="1202">
        <v>127261</v>
      </c>
      <c r="AY282" s="1202">
        <v>545365</v>
      </c>
      <c r="AZ282" s="1202">
        <v>685188</v>
      </c>
      <c r="BA282" s="1202">
        <v>1292818</v>
      </c>
      <c r="BB282" s="1202">
        <v>0</v>
      </c>
      <c r="BC282" s="1202">
        <v>350923</v>
      </c>
      <c r="BD282" s="1202">
        <v>0</v>
      </c>
      <c r="BE282" s="1202">
        <v>0</v>
      </c>
      <c r="BF282" s="1202">
        <v>6576333</v>
      </c>
      <c r="BG282" s="1202">
        <v>0</v>
      </c>
      <c r="BH282" s="1202">
        <v>0</v>
      </c>
      <c r="BI282" s="1202">
        <v>585237</v>
      </c>
      <c r="BJ282" s="1202">
        <v>406361</v>
      </c>
      <c r="BK282" s="1202">
        <v>63904</v>
      </c>
      <c r="BL282" s="1202">
        <v>1037477</v>
      </c>
      <c r="BM282" s="1202">
        <v>689012</v>
      </c>
      <c r="BN282" s="1202">
        <v>0</v>
      </c>
      <c r="BO282" s="1202">
        <v>1551984</v>
      </c>
      <c r="BP282" s="1202">
        <v>0</v>
      </c>
      <c r="BQ282" s="1202">
        <v>179695</v>
      </c>
      <c r="BR282" s="1202">
        <v>383695</v>
      </c>
      <c r="BS282" s="1202">
        <v>99679</v>
      </c>
      <c r="BT282" s="1202">
        <v>3554568</v>
      </c>
      <c r="BU282" s="1202">
        <v>288385</v>
      </c>
      <c r="BV282" s="1202">
        <v>566120</v>
      </c>
      <c r="BW282" s="1202">
        <v>135223</v>
      </c>
      <c r="BX282" s="1202">
        <v>44514</v>
      </c>
      <c r="BY282" s="1202">
        <v>0</v>
      </c>
      <c r="BZ282" s="1202">
        <v>0</v>
      </c>
      <c r="CA282" s="1202">
        <v>3055629</v>
      </c>
      <c r="CB282" s="1202">
        <v>0</v>
      </c>
    </row>
    <row r="283" spans="1:80" s="1156" customFormat="1" x14ac:dyDescent="0.3">
      <c r="A283" s="1152">
        <v>624</v>
      </c>
      <c r="B283" s="1204">
        <v>624</v>
      </c>
      <c r="C283" s="1204" t="s">
        <v>723</v>
      </c>
      <c r="D283" s="1154"/>
      <c r="E283" s="1200">
        <v>2</v>
      </c>
      <c r="F283" s="1201">
        <v>2</v>
      </c>
      <c r="G283" s="1201">
        <v>0</v>
      </c>
      <c r="H283" s="1201">
        <v>1</v>
      </c>
      <c r="I283" s="1201">
        <v>1</v>
      </c>
      <c r="J283" s="1201">
        <v>1</v>
      </c>
      <c r="K283" s="1201">
        <v>2</v>
      </c>
      <c r="L283" s="1202">
        <v>2</v>
      </c>
      <c r="M283" s="1202">
        <v>1</v>
      </c>
      <c r="N283" s="1202">
        <v>0</v>
      </c>
      <c r="O283" s="1202">
        <v>2</v>
      </c>
      <c r="P283" s="1202">
        <v>1</v>
      </c>
      <c r="Q283" s="1202">
        <v>1</v>
      </c>
      <c r="R283" s="1202">
        <v>1</v>
      </c>
      <c r="S283" s="1202">
        <v>1</v>
      </c>
      <c r="T283" s="1202">
        <v>1</v>
      </c>
      <c r="U283" s="1202">
        <v>0</v>
      </c>
      <c r="V283" s="1202">
        <v>1</v>
      </c>
      <c r="W283" s="1202">
        <v>1</v>
      </c>
      <c r="X283" s="1202">
        <v>1</v>
      </c>
      <c r="Y283" s="1202">
        <v>1</v>
      </c>
      <c r="Z283" s="1202">
        <v>1</v>
      </c>
      <c r="AA283" s="1202">
        <v>1</v>
      </c>
      <c r="AB283" s="1202">
        <v>1</v>
      </c>
      <c r="AC283" s="1202">
        <v>1</v>
      </c>
      <c r="AD283" s="1202">
        <v>1</v>
      </c>
      <c r="AE283" s="1202">
        <v>2</v>
      </c>
      <c r="AF283" s="1202">
        <v>1</v>
      </c>
      <c r="AG283" s="1202">
        <v>2</v>
      </c>
      <c r="AH283" s="1202">
        <v>1</v>
      </c>
      <c r="AI283" s="1202">
        <v>1</v>
      </c>
      <c r="AJ283" s="1202">
        <v>1</v>
      </c>
      <c r="AK283" s="1202">
        <v>2</v>
      </c>
      <c r="AL283" s="1202">
        <v>1</v>
      </c>
      <c r="AM283" s="1202">
        <v>2</v>
      </c>
      <c r="AN283" s="1202">
        <v>1</v>
      </c>
      <c r="AO283" s="1202">
        <v>2</v>
      </c>
      <c r="AP283" s="1202">
        <v>0</v>
      </c>
      <c r="AQ283" s="1202">
        <v>1</v>
      </c>
      <c r="AR283" s="1202">
        <v>1</v>
      </c>
      <c r="AS283" s="1202">
        <v>1</v>
      </c>
      <c r="AT283" s="1202">
        <v>1</v>
      </c>
      <c r="AU283" s="1202">
        <v>1</v>
      </c>
      <c r="AV283" s="1202">
        <v>1</v>
      </c>
      <c r="AW283" s="1202">
        <v>1</v>
      </c>
      <c r="AX283" s="1202">
        <v>2</v>
      </c>
      <c r="AY283" s="1202">
        <v>1</v>
      </c>
      <c r="AZ283" s="1202">
        <v>1</v>
      </c>
      <c r="BA283" s="1202">
        <v>1</v>
      </c>
      <c r="BB283" s="1202">
        <v>1</v>
      </c>
      <c r="BC283" s="1202">
        <v>1</v>
      </c>
      <c r="BD283" s="1202">
        <v>0</v>
      </c>
      <c r="BE283" s="1202">
        <v>1</v>
      </c>
      <c r="BF283" s="1202">
        <v>2</v>
      </c>
      <c r="BG283" s="1202">
        <v>0</v>
      </c>
      <c r="BH283" s="1202">
        <v>1</v>
      </c>
      <c r="BI283" s="1202">
        <v>2</v>
      </c>
      <c r="BJ283" s="1202">
        <v>2</v>
      </c>
      <c r="BK283" s="1202">
        <v>1</v>
      </c>
      <c r="BL283" s="1202">
        <v>1</v>
      </c>
      <c r="BM283" s="1202">
        <v>2</v>
      </c>
      <c r="BN283" s="1202">
        <v>2</v>
      </c>
      <c r="BO283" s="1202">
        <v>1</v>
      </c>
      <c r="BP283" s="1202">
        <v>2</v>
      </c>
      <c r="BQ283" s="1202">
        <v>2</v>
      </c>
      <c r="BR283" s="1202">
        <v>1</v>
      </c>
      <c r="BS283" s="1202">
        <v>1</v>
      </c>
      <c r="BT283" s="1202">
        <v>2</v>
      </c>
      <c r="BU283" s="1202">
        <v>2</v>
      </c>
      <c r="BV283" s="1202">
        <v>2</v>
      </c>
      <c r="BW283" s="1202">
        <v>1</v>
      </c>
      <c r="BX283" s="1202">
        <v>1</v>
      </c>
      <c r="BY283" s="1202">
        <v>1</v>
      </c>
      <c r="BZ283" s="1202">
        <v>2</v>
      </c>
      <c r="CA283" s="1202">
        <v>1</v>
      </c>
      <c r="CB283" s="1202">
        <v>2</v>
      </c>
    </row>
    <row r="284" spans="1:80" s="1156" customFormat="1" ht="100.8" x14ac:dyDescent="0.3">
      <c r="A284" s="1152">
        <v>625</v>
      </c>
      <c r="B284" s="1204">
        <v>625</v>
      </c>
      <c r="C284" s="1205" t="s">
        <v>822</v>
      </c>
      <c r="D284" s="1154"/>
      <c r="E284" s="1200">
        <v>0</v>
      </c>
      <c r="F284" s="1201">
        <v>0</v>
      </c>
      <c r="G284" s="1201">
        <v>0</v>
      </c>
      <c r="H284" s="1201">
        <v>0</v>
      </c>
      <c r="I284" s="1201">
        <v>0</v>
      </c>
      <c r="J284" s="1201">
        <v>0</v>
      </c>
      <c r="K284" s="1201">
        <v>0</v>
      </c>
      <c r="L284" s="1202">
        <v>0</v>
      </c>
      <c r="M284" s="1202">
        <v>0</v>
      </c>
      <c r="N284" s="1202">
        <v>0</v>
      </c>
      <c r="O284" s="1202">
        <v>0</v>
      </c>
      <c r="P284" s="1202">
        <v>0</v>
      </c>
      <c r="Q284" s="1202">
        <v>0</v>
      </c>
      <c r="R284" s="1202">
        <v>0</v>
      </c>
      <c r="S284" s="1202">
        <v>0</v>
      </c>
      <c r="T284" s="1202">
        <v>0</v>
      </c>
      <c r="U284" s="1202">
        <v>0</v>
      </c>
      <c r="V284" s="1202">
        <v>0</v>
      </c>
      <c r="W284" s="1202">
        <v>0</v>
      </c>
      <c r="X284" s="1202">
        <v>0</v>
      </c>
      <c r="Y284" s="1202">
        <v>0</v>
      </c>
      <c r="Z284" s="1202">
        <v>0</v>
      </c>
      <c r="AA284" s="1202">
        <v>0</v>
      </c>
      <c r="AB284" s="1202">
        <v>0</v>
      </c>
      <c r="AC284" s="1202">
        <v>0</v>
      </c>
      <c r="AD284" s="1202">
        <v>0</v>
      </c>
      <c r="AE284" s="1202">
        <v>0</v>
      </c>
      <c r="AF284" s="1202">
        <v>0</v>
      </c>
      <c r="AG284" s="1202">
        <v>0</v>
      </c>
      <c r="AH284" s="1202">
        <v>0</v>
      </c>
      <c r="AI284" s="1202">
        <v>0</v>
      </c>
      <c r="AJ284" s="1202">
        <v>0</v>
      </c>
      <c r="AK284" s="1202">
        <v>0</v>
      </c>
      <c r="AL284" s="1202">
        <v>0</v>
      </c>
      <c r="AM284" s="1202">
        <v>0</v>
      </c>
      <c r="AN284" s="1202">
        <v>0</v>
      </c>
      <c r="AO284" s="1202">
        <v>0</v>
      </c>
      <c r="AP284" s="1202">
        <v>0</v>
      </c>
      <c r="AQ284" s="1202">
        <v>0</v>
      </c>
      <c r="AR284" s="1202">
        <v>0</v>
      </c>
      <c r="AS284" s="1202">
        <v>0</v>
      </c>
      <c r="AT284" s="1202">
        <v>0</v>
      </c>
      <c r="AU284" s="1202">
        <v>0</v>
      </c>
      <c r="AV284" s="1202">
        <v>0</v>
      </c>
      <c r="AW284" s="1202">
        <v>0</v>
      </c>
      <c r="AX284" s="1202">
        <v>0</v>
      </c>
      <c r="AY284" s="1202">
        <v>0</v>
      </c>
      <c r="AZ284" s="1202">
        <v>0</v>
      </c>
      <c r="BA284" s="1202">
        <v>0</v>
      </c>
      <c r="BB284" s="1202">
        <v>0</v>
      </c>
      <c r="BC284" s="1202">
        <v>0</v>
      </c>
      <c r="BD284" s="1202">
        <v>0</v>
      </c>
      <c r="BE284" s="1202">
        <v>0</v>
      </c>
      <c r="BF284" s="1202">
        <v>0</v>
      </c>
      <c r="BG284" s="1202">
        <v>0</v>
      </c>
      <c r="BH284" s="1202">
        <v>0</v>
      </c>
      <c r="BI284" s="1202">
        <v>0</v>
      </c>
      <c r="BJ284" s="1202">
        <v>0</v>
      </c>
      <c r="BK284" s="1202">
        <v>0</v>
      </c>
      <c r="BL284" s="1202">
        <v>0</v>
      </c>
      <c r="BM284" s="1202">
        <v>0</v>
      </c>
      <c r="BN284" s="1202">
        <v>0</v>
      </c>
      <c r="BO284" s="1202">
        <v>0</v>
      </c>
      <c r="BP284" s="1202">
        <v>0</v>
      </c>
      <c r="BQ284" s="1202">
        <v>0</v>
      </c>
      <c r="BR284" s="1202">
        <v>0</v>
      </c>
      <c r="BS284" s="1202">
        <v>0</v>
      </c>
      <c r="BT284" s="1202">
        <v>0</v>
      </c>
      <c r="BU284" s="1202">
        <v>0</v>
      </c>
      <c r="BV284" s="1202">
        <v>0</v>
      </c>
      <c r="BW284" s="1202">
        <v>0</v>
      </c>
      <c r="BX284" s="1202">
        <v>0</v>
      </c>
      <c r="BY284" s="1202">
        <v>0</v>
      </c>
      <c r="BZ284" s="1202">
        <v>0</v>
      </c>
      <c r="CA284" s="1202">
        <v>0</v>
      </c>
      <c r="CB284" s="1202">
        <v>0</v>
      </c>
    </row>
    <row r="285" spans="1:80" s="1156" customFormat="1" ht="28.8" x14ac:dyDescent="0.3">
      <c r="A285" s="1152">
        <v>626</v>
      </c>
      <c r="B285" s="1152">
        <v>626</v>
      </c>
      <c r="C285" s="1205" t="s">
        <v>743</v>
      </c>
      <c r="D285" s="1154"/>
      <c r="E285" s="1200">
        <v>136667</v>
      </c>
      <c r="F285" s="1201">
        <v>3606438</v>
      </c>
      <c r="G285" s="1201">
        <v>0</v>
      </c>
      <c r="H285" s="1201">
        <v>6844076</v>
      </c>
      <c r="I285" s="1201">
        <v>669263</v>
      </c>
      <c r="J285" s="1201">
        <v>19342</v>
      </c>
      <c r="K285" s="1201">
        <v>36774</v>
      </c>
      <c r="L285" s="1202">
        <v>109498</v>
      </c>
      <c r="M285" s="1202">
        <v>10777581</v>
      </c>
      <c r="N285" s="1202">
        <v>14422</v>
      </c>
      <c r="O285" s="1202">
        <v>64727</v>
      </c>
      <c r="P285" s="1202">
        <v>117455</v>
      </c>
      <c r="Q285" s="1202">
        <v>6946347</v>
      </c>
      <c r="R285" s="1202">
        <v>4301250</v>
      </c>
      <c r="S285" s="1202">
        <v>628329</v>
      </c>
      <c r="T285" s="1202">
        <v>1856006</v>
      </c>
      <c r="U285" s="1202">
        <v>0</v>
      </c>
      <c r="V285" s="1202">
        <v>4193494</v>
      </c>
      <c r="W285" s="1202">
        <v>362</v>
      </c>
      <c r="X285" s="1202">
        <v>2049800</v>
      </c>
      <c r="Y285" s="1202">
        <v>3524155</v>
      </c>
      <c r="Z285" s="1202">
        <v>921247</v>
      </c>
      <c r="AA285" s="1202">
        <v>120503</v>
      </c>
      <c r="AB285" s="1202">
        <v>534690</v>
      </c>
      <c r="AC285" s="1202">
        <v>25006</v>
      </c>
      <c r="AD285" s="1202">
        <v>65695</v>
      </c>
      <c r="AE285" s="1202">
        <v>75639</v>
      </c>
      <c r="AF285" s="1202">
        <v>601620</v>
      </c>
      <c r="AG285" s="1202">
        <v>5171</v>
      </c>
      <c r="AH285" s="1202">
        <v>1340</v>
      </c>
      <c r="AI285" s="1202">
        <v>444</v>
      </c>
      <c r="AJ285" s="1202">
        <v>35942</v>
      </c>
      <c r="AK285" s="1202">
        <v>630741</v>
      </c>
      <c r="AL285" s="1202">
        <v>34323</v>
      </c>
      <c r="AM285" s="1202">
        <v>0</v>
      </c>
      <c r="AN285" s="1202">
        <v>3242369</v>
      </c>
      <c r="AO285" s="1202">
        <v>610567</v>
      </c>
      <c r="AP285" s="1202">
        <v>2921</v>
      </c>
      <c r="AQ285" s="1202">
        <v>721845</v>
      </c>
      <c r="AR285" s="1202">
        <v>7020558</v>
      </c>
      <c r="AS285" s="1202">
        <v>236469</v>
      </c>
      <c r="AT285" s="1202">
        <v>132916</v>
      </c>
      <c r="AU285" s="1202">
        <v>433420</v>
      </c>
      <c r="AV285" s="1202">
        <v>1642771</v>
      </c>
      <c r="AW285" s="1202">
        <v>48325</v>
      </c>
      <c r="AX285" s="1202">
        <v>33663</v>
      </c>
      <c r="AY285" s="1202">
        <v>284913</v>
      </c>
      <c r="AZ285" s="1202">
        <v>157381</v>
      </c>
      <c r="BA285" s="1202">
        <v>255618</v>
      </c>
      <c r="BB285" s="1202">
        <v>0</v>
      </c>
      <c r="BC285" s="1202">
        <v>90321</v>
      </c>
      <c r="BD285" s="1202">
        <v>0</v>
      </c>
      <c r="BE285" s="1202">
        <v>3368</v>
      </c>
      <c r="BF285" s="1202">
        <v>5433394</v>
      </c>
      <c r="BG285" s="1202">
        <v>0</v>
      </c>
      <c r="BH285" s="1202">
        <v>2267</v>
      </c>
      <c r="BI285" s="1202">
        <v>44854</v>
      </c>
      <c r="BJ285" s="1202">
        <v>152121</v>
      </c>
      <c r="BK285" s="1202">
        <v>52212</v>
      </c>
      <c r="BL285" s="1202">
        <v>415927</v>
      </c>
      <c r="BM285" s="1202">
        <v>125885</v>
      </c>
      <c r="BN285" s="1202">
        <v>0</v>
      </c>
      <c r="BO285" s="1202">
        <v>1230368</v>
      </c>
      <c r="BP285" s="1202">
        <v>436910</v>
      </c>
      <c r="BQ285" s="1202">
        <v>19990</v>
      </c>
      <c r="BR285" s="1202">
        <v>8180</v>
      </c>
      <c r="BS285" s="1202">
        <v>48831</v>
      </c>
      <c r="BT285" s="1202">
        <v>3846102</v>
      </c>
      <c r="BU285" s="1202">
        <v>119598</v>
      </c>
      <c r="BV285" s="1202">
        <v>3801367</v>
      </c>
      <c r="BW285" s="1202">
        <v>141784</v>
      </c>
      <c r="BX285" s="1202">
        <v>11908</v>
      </c>
      <c r="BY285" s="1202">
        <v>0</v>
      </c>
      <c r="BZ285" s="1202">
        <v>0</v>
      </c>
      <c r="CA285" s="1202">
        <v>4101712</v>
      </c>
      <c r="CB285" s="1202">
        <v>2665</v>
      </c>
    </row>
    <row r="286" spans="1:80" s="1156" customFormat="1" x14ac:dyDescent="0.3">
      <c r="A286" s="1152">
        <v>627</v>
      </c>
      <c r="B286" s="1152">
        <v>627</v>
      </c>
      <c r="C286" s="1205" t="s">
        <v>735</v>
      </c>
      <c r="D286" s="1154"/>
      <c r="E286" s="1200">
        <v>0</v>
      </c>
      <c r="F286" s="1201">
        <v>0</v>
      </c>
      <c r="G286" s="1201">
        <v>0</v>
      </c>
      <c r="H286" s="1201">
        <v>0</v>
      </c>
      <c r="I286" s="1201">
        <v>0</v>
      </c>
      <c r="J286" s="1201">
        <v>0</v>
      </c>
      <c r="K286" s="1201">
        <v>0</v>
      </c>
      <c r="L286" s="1202">
        <v>0</v>
      </c>
      <c r="M286" s="1202">
        <v>0</v>
      </c>
      <c r="N286" s="1202">
        <v>0</v>
      </c>
      <c r="O286" s="1202">
        <v>0</v>
      </c>
      <c r="P286" s="1202">
        <v>0</v>
      </c>
      <c r="Q286" s="1202">
        <v>405000</v>
      </c>
      <c r="R286" s="1202">
        <v>0</v>
      </c>
      <c r="S286" s="1202">
        <v>0</v>
      </c>
      <c r="T286" s="1202">
        <v>0</v>
      </c>
      <c r="U286" s="1202">
        <v>0</v>
      </c>
      <c r="V286" s="1202">
        <v>0</v>
      </c>
      <c r="W286" s="1202">
        <v>0</v>
      </c>
      <c r="X286" s="1202">
        <v>0</v>
      </c>
      <c r="Y286" s="1202">
        <v>1453808</v>
      </c>
      <c r="Z286" s="1202">
        <v>0</v>
      </c>
      <c r="AA286" s="1202">
        <v>0</v>
      </c>
      <c r="AB286" s="1202">
        <v>0</v>
      </c>
      <c r="AC286" s="1202">
        <v>0</v>
      </c>
      <c r="AD286" s="1202">
        <v>0</v>
      </c>
      <c r="AE286" s="1202">
        <v>0</v>
      </c>
      <c r="AF286" s="1202">
        <v>0</v>
      </c>
      <c r="AG286" s="1202">
        <v>0</v>
      </c>
      <c r="AH286" s="1202">
        <v>0</v>
      </c>
      <c r="AI286" s="1202">
        <v>0</v>
      </c>
      <c r="AJ286" s="1202">
        <v>0</v>
      </c>
      <c r="AK286" s="1202">
        <v>0</v>
      </c>
      <c r="AL286" s="1202">
        <v>0</v>
      </c>
      <c r="AM286" s="1202">
        <v>0</v>
      </c>
      <c r="AN286" s="1202">
        <v>0</v>
      </c>
      <c r="AO286" s="1202">
        <v>0</v>
      </c>
      <c r="AP286" s="1202">
        <v>0</v>
      </c>
      <c r="AQ286" s="1202">
        <v>0</v>
      </c>
      <c r="AR286" s="1202">
        <v>0</v>
      </c>
      <c r="AS286" s="1202">
        <v>0</v>
      </c>
      <c r="AT286" s="1202">
        <v>0</v>
      </c>
      <c r="AU286" s="1202">
        <v>0</v>
      </c>
      <c r="AV286" s="1202">
        <v>0</v>
      </c>
      <c r="AW286" s="1202">
        <v>0</v>
      </c>
      <c r="AX286" s="1202">
        <v>0</v>
      </c>
      <c r="AY286" s="1202">
        <v>0</v>
      </c>
      <c r="AZ286" s="1202">
        <v>0</v>
      </c>
      <c r="BA286" s="1202">
        <v>0</v>
      </c>
      <c r="BB286" s="1202">
        <v>0</v>
      </c>
      <c r="BC286" s="1202">
        <v>0</v>
      </c>
      <c r="BD286" s="1202">
        <v>0</v>
      </c>
      <c r="BE286" s="1202">
        <v>0</v>
      </c>
      <c r="BF286" s="1202">
        <v>0</v>
      </c>
      <c r="BG286" s="1202">
        <v>0</v>
      </c>
      <c r="BH286" s="1202">
        <v>0</v>
      </c>
      <c r="BI286" s="1202">
        <v>0</v>
      </c>
      <c r="BJ286" s="1202">
        <v>0</v>
      </c>
      <c r="BK286" s="1202">
        <v>0</v>
      </c>
      <c r="BL286" s="1202">
        <v>0</v>
      </c>
      <c r="BM286" s="1202">
        <v>0</v>
      </c>
      <c r="BN286" s="1202">
        <v>0</v>
      </c>
      <c r="BO286" s="1202">
        <v>0</v>
      </c>
      <c r="BP286" s="1202">
        <v>0</v>
      </c>
      <c r="BQ286" s="1202">
        <v>0</v>
      </c>
      <c r="BR286" s="1202">
        <v>0</v>
      </c>
      <c r="BS286" s="1202">
        <v>0</v>
      </c>
      <c r="BT286" s="1202">
        <v>0</v>
      </c>
      <c r="BU286" s="1202">
        <v>0</v>
      </c>
      <c r="BV286" s="1202">
        <v>0</v>
      </c>
      <c r="BW286" s="1202">
        <v>79977</v>
      </c>
      <c r="BX286" s="1202">
        <v>0</v>
      </c>
      <c r="BY286" s="1202">
        <v>0</v>
      </c>
      <c r="BZ286" s="1202">
        <v>0</v>
      </c>
      <c r="CA286" s="1202">
        <v>0</v>
      </c>
      <c r="CB286" s="1202">
        <v>0</v>
      </c>
    </row>
    <row r="287" spans="1:80" s="1156" customFormat="1" x14ac:dyDescent="0.3">
      <c r="A287" s="1152">
        <v>628</v>
      </c>
      <c r="B287" s="1152">
        <v>628</v>
      </c>
      <c r="C287" s="1205" t="s">
        <v>740</v>
      </c>
      <c r="D287" s="1154"/>
      <c r="E287" s="1200">
        <v>56141</v>
      </c>
      <c r="F287" s="1201">
        <v>160605</v>
      </c>
      <c r="G287" s="1201">
        <v>0</v>
      </c>
      <c r="H287" s="1201">
        <v>795216</v>
      </c>
      <c r="I287" s="1201">
        <v>21000</v>
      </c>
      <c r="J287" s="1201">
        <v>2894</v>
      </c>
      <c r="K287" s="1201">
        <v>21282</v>
      </c>
      <c r="L287" s="1202">
        <v>43570</v>
      </c>
      <c r="M287" s="1202">
        <v>1015502</v>
      </c>
      <c r="N287" s="1202">
        <v>0</v>
      </c>
      <c r="O287" s="1202">
        <v>134</v>
      </c>
      <c r="P287" s="1202">
        <v>0</v>
      </c>
      <c r="Q287" s="1202">
        <v>1602309</v>
      </c>
      <c r="R287" s="1202">
        <v>600000</v>
      </c>
      <c r="S287" s="1202">
        <v>254465</v>
      </c>
      <c r="T287" s="1202">
        <v>218800</v>
      </c>
      <c r="U287" s="1202">
        <v>0</v>
      </c>
      <c r="V287" s="1202">
        <v>189503</v>
      </c>
      <c r="W287" s="1202">
        <v>0</v>
      </c>
      <c r="X287" s="1202">
        <v>50000</v>
      </c>
      <c r="Y287" s="1202">
        <v>279740</v>
      </c>
      <c r="Z287" s="1202">
        <v>90000</v>
      </c>
      <c r="AA287" s="1202">
        <v>0</v>
      </c>
      <c r="AB287" s="1202">
        <v>42453</v>
      </c>
      <c r="AC287" s="1202">
        <v>0</v>
      </c>
      <c r="AD287" s="1202">
        <v>0</v>
      </c>
      <c r="AE287" s="1202">
        <v>8006</v>
      </c>
      <c r="AF287" s="1202">
        <v>0</v>
      </c>
      <c r="AG287" s="1202">
        <v>0</v>
      </c>
      <c r="AH287" s="1202">
        <v>0</v>
      </c>
      <c r="AI287" s="1202">
        <v>0</v>
      </c>
      <c r="AJ287" s="1202">
        <v>0</v>
      </c>
      <c r="AK287" s="1202">
        <v>106504</v>
      </c>
      <c r="AL287" s="1202">
        <v>0</v>
      </c>
      <c r="AM287" s="1202">
        <v>0</v>
      </c>
      <c r="AN287" s="1202">
        <v>0</v>
      </c>
      <c r="AO287" s="1202">
        <v>382922</v>
      </c>
      <c r="AP287" s="1202">
        <v>0</v>
      </c>
      <c r="AQ287" s="1202">
        <v>29836</v>
      </c>
      <c r="AR287" s="1202">
        <v>489700</v>
      </c>
      <c r="AS287" s="1202">
        <v>54015</v>
      </c>
      <c r="AT287" s="1202">
        <v>9098</v>
      </c>
      <c r="AU287" s="1202">
        <v>0</v>
      </c>
      <c r="AV287" s="1202">
        <v>230212</v>
      </c>
      <c r="AW287" s="1202">
        <v>257</v>
      </c>
      <c r="AX287" s="1202">
        <v>0</v>
      </c>
      <c r="AY287" s="1202">
        <v>57707</v>
      </c>
      <c r="AZ287" s="1202">
        <v>0</v>
      </c>
      <c r="BA287" s="1202">
        <v>0</v>
      </c>
      <c r="BB287" s="1202">
        <v>0</v>
      </c>
      <c r="BC287" s="1202">
        <v>0</v>
      </c>
      <c r="BD287" s="1202">
        <v>0</v>
      </c>
      <c r="BE287" s="1202">
        <v>0</v>
      </c>
      <c r="BF287" s="1202">
        <v>211114</v>
      </c>
      <c r="BG287" s="1202">
        <v>0</v>
      </c>
      <c r="BH287" s="1202">
        <v>0</v>
      </c>
      <c r="BI287" s="1202">
        <v>0</v>
      </c>
      <c r="BJ287" s="1202">
        <v>50998</v>
      </c>
      <c r="BK287" s="1202">
        <v>4554</v>
      </c>
      <c r="BL287" s="1202">
        <v>77281</v>
      </c>
      <c r="BM287" s="1202">
        <v>28454</v>
      </c>
      <c r="BN287" s="1202">
        <v>0</v>
      </c>
      <c r="BO287" s="1202">
        <v>185200</v>
      </c>
      <c r="BP287" s="1202">
        <v>44837</v>
      </c>
      <c r="BQ287" s="1202">
        <v>10598</v>
      </c>
      <c r="BR287" s="1202">
        <v>0</v>
      </c>
      <c r="BS287" s="1202">
        <v>4884</v>
      </c>
      <c r="BT287" s="1202">
        <v>61408</v>
      </c>
      <c r="BU287" s="1202">
        <v>0</v>
      </c>
      <c r="BV287" s="1202">
        <v>98077</v>
      </c>
      <c r="BW287" s="1202">
        <v>5000</v>
      </c>
      <c r="BX287" s="1202">
        <v>0</v>
      </c>
      <c r="BY287" s="1202">
        <v>0</v>
      </c>
      <c r="BZ287" s="1202">
        <v>0</v>
      </c>
      <c r="CA287" s="1202">
        <v>433810</v>
      </c>
      <c r="CB287" s="1202">
        <v>0</v>
      </c>
    </row>
    <row r="288" spans="1:80" s="1156" customFormat="1" x14ac:dyDescent="0.3">
      <c r="A288" s="1152">
        <v>629</v>
      </c>
      <c r="B288" s="1152">
        <v>629</v>
      </c>
      <c r="C288" s="1205" t="s">
        <v>739</v>
      </c>
      <c r="D288" s="1154"/>
      <c r="E288" s="1200">
        <v>0</v>
      </c>
      <c r="F288" s="1201">
        <v>0</v>
      </c>
      <c r="G288" s="1201">
        <v>0</v>
      </c>
      <c r="H288" s="1201">
        <v>0</v>
      </c>
      <c r="I288" s="1201">
        <v>0</v>
      </c>
      <c r="J288" s="1201">
        <v>0</v>
      </c>
      <c r="K288" s="1201">
        <v>0</v>
      </c>
      <c r="L288" s="1202">
        <v>0</v>
      </c>
      <c r="M288" s="1202">
        <v>0</v>
      </c>
      <c r="N288" s="1202">
        <v>0</v>
      </c>
      <c r="O288" s="1202">
        <v>0</v>
      </c>
      <c r="P288" s="1202">
        <v>0</v>
      </c>
      <c r="Q288" s="1202">
        <v>0</v>
      </c>
      <c r="R288" s="1202">
        <v>0</v>
      </c>
      <c r="S288" s="1202">
        <v>0</v>
      </c>
      <c r="T288" s="1202">
        <v>0</v>
      </c>
      <c r="U288" s="1202">
        <v>0</v>
      </c>
      <c r="V288" s="1202">
        <v>0</v>
      </c>
      <c r="W288" s="1202">
        <v>0</v>
      </c>
      <c r="X288" s="1202">
        <v>0</v>
      </c>
      <c r="Y288" s="1202">
        <v>0</v>
      </c>
      <c r="Z288" s="1202">
        <v>0</v>
      </c>
      <c r="AA288" s="1202">
        <v>0</v>
      </c>
      <c r="AB288" s="1202">
        <v>0</v>
      </c>
      <c r="AC288" s="1202">
        <v>0</v>
      </c>
      <c r="AD288" s="1202">
        <v>0</v>
      </c>
      <c r="AE288" s="1202">
        <v>0</v>
      </c>
      <c r="AF288" s="1202">
        <v>0</v>
      </c>
      <c r="AG288" s="1202">
        <v>0</v>
      </c>
      <c r="AH288" s="1202">
        <v>0</v>
      </c>
      <c r="AI288" s="1202">
        <v>0</v>
      </c>
      <c r="AJ288" s="1202">
        <v>0</v>
      </c>
      <c r="AK288" s="1202">
        <v>0</v>
      </c>
      <c r="AL288" s="1202">
        <v>0</v>
      </c>
      <c r="AM288" s="1202">
        <v>0</v>
      </c>
      <c r="AN288" s="1202">
        <v>0</v>
      </c>
      <c r="AO288" s="1202">
        <v>0</v>
      </c>
      <c r="AP288" s="1202">
        <v>0</v>
      </c>
      <c r="AQ288" s="1202">
        <v>0</v>
      </c>
      <c r="AR288" s="1202">
        <v>0</v>
      </c>
      <c r="AS288" s="1202">
        <v>0</v>
      </c>
      <c r="AT288" s="1202">
        <v>0</v>
      </c>
      <c r="AU288" s="1202">
        <v>0</v>
      </c>
      <c r="AV288" s="1202">
        <v>0</v>
      </c>
      <c r="AW288" s="1202">
        <v>0</v>
      </c>
      <c r="AX288" s="1202">
        <v>0</v>
      </c>
      <c r="AY288" s="1202">
        <v>0</v>
      </c>
      <c r="AZ288" s="1202">
        <v>0</v>
      </c>
      <c r="BA288" s="1202">
        <v>0</v>
      </c>
      <c r="BB288" s="1202">
        <v>0</v>
      </c>
      <c r="BC288" s="1202">
        <v>0</v>
      </c>
      <c r="BD288" s="1202">
        <v>0</v>
      </c>
      <c r="BE288" s="1202">
        <v>0</v>
      </c>
      <c r="BF288" s="1202">
        <v>0</v>
      </c>
      <c r="BG288" s="1202">
        <v>0</v>
      </c>
      <c r="BH288" s="1202">
        <v>0</v>
      </c>
      <c r="BI288" s="1202">
        <v>0</v>
      </c>
      <c r="BJ288" s="1202">
        <v>0</v>
      </c>
      <c r="BK288" s="1202">
        <v>0</v>
      </c>
      <c r="BL288" s="1202">
        <v>0</v>
      </c>
      <c r="BM288" s="1202">
        <v>0</v>
      </c>
      <c r="BN288" s="1202">
        <v>0</v>
      </c>
      <c r="BO288" s="1202">
        <v>0</v>
      </c>
      <c r="BP288" s="1202">
        <v>0</v>
      </c>
      <c r="BQ288" s="1202">
        <v>0</v>
      </c>
      <c r="BR288" s="1202">
        <v>0</v>
      </c>
      <c r="BS288" s="1202">
        <v>0</v>
      </c>
      <c r="BT288" s="1202">
        <v>0</v>
      </c>
      <c r="BU288" s="1202">
        <v>0</v>
      </c>
      <c r="BV288" s="1202">
        <v>882005</v>
      </c>
      <c r="BW288" s="1202">
        <v>0</v>
      </c>
      <c r="BX288" s="1202">
        <v>0</v>
      </c>
      <c r="BY288" s="1202">
        <v>0</v>
      </c>
      <c r="BZ288" s="1202">
        <v>0</v>
      </c>
      <c r="CA288" s="1202">
        <v>0</v>
      </c>
      <c r="CB288" s="1202">
        <v>0</v>
      </c>
    </row>
    <row r="289" spans="1:80" s="1156" customFormat="1" ht="28.8" x14ac:dyDescent="0.3">
      <c r="A289" s="1152">
        <v>630</v>
      </c>
      <c r="B289" s="1152">
        <v>630</v>
      </c>
      <c r="C289" s="1205" t="s">
        <v>738</v>
      </c>
      <c r="D289" s="1154"/>
      <c r="E289" s="1200">
        <v>0</v>
      </c>
      <c r="F289" s="1201">
        <v>915953</v>
      </c>
      <c r="G289" s="1201">
        <v>0</v>
      </c>
      <c r="H289" s="1201">
        <v>0</v>
      </c>
      <c r="I289" s="1201">
        <v>133734</v>
      </c>
      <c r="J289" s="1201">
        <v>0</v>
      </c>
      <c r="K289" s="1201">
        <v>0</v>
      </c>
      <c r="L289" s="1202">
        <v>0</v>
      </c>
      <c r="M289" s="1202">
        <v>0</v>
      </c>
      <c r="N289" s="1202">
        <v>0</v>
      </c>
      <c r="O289" s="1202">
        <v>0</v>
      </c>
      <c r="P289" s="1202">
        <v>0</v>
      </c>
      <c r="Q289" s="1202">
        <v>458487</v>
      </c>
      <c r="R289" s="1202">
        <v>0</v>
      </c>
      <c r="S289" s="1202">
        <v>0</v>
      </c>
      <c r="T289" s="1202">
        <v>0</v>
      </c>
      <c r="U289" s="1202">
        <v>0</v>
      </c>
      <c r="V289" s="1202">
        <v>0</v>
      </c>
      <c r="W289" s="1202">
        <v>0</v>
      </c>
      <c r="X289" s="1202">
        <v>0</v>
      </c>
      <c r="Y289" s="1202">
        <v>0</v>
      </c>
      <c r="Z289" s="1202">
        <v>0</v>
      </c>
      <c r="AA289" s="1202">
        <v>0</v>
      </c>
      <c r="AB289" s="1202">
        <v>0</v>
      </c>
      <c r="AC289" s="1202">
        <v>0</v>
      </c>
      <c r="AD289" s="1202">
        <v>0</v>
      </c>
      <c r="AE289" s="1202">
        <v>0</v>
      </c>
      <c r="AF289" s="1202">
        <v>0</v>
      </c>
      <c r="AG289" s="1202">
        <v>0</v>
      </c>
      <c r="AH289" s="1202">
        <v>0</v>
      </c>
      <c r="AI289" s="1202">
        <v>0</v>
      </c>
      <c r="AJ289" s="1202">
        <v>0</v>
      </c>
      <c r="AK289" s="1202">
        <v>0</v>
      </c>
      <c r="AL289" s="1202">
        <v>0</v>
      </c>
      <c r="AM289" s="1202">
        <v>0</v>
      </c>
      <c r="AN289" s="1202">
        <v>0</v>
      </c>
      <c r="AO289" s="1202">
        <v>0</v>
      </c>
      <c r="AP289" s="1202">
        <v>0</v>
      </c>
      <c r="AQ289" s="1202">
        <v>200346</v>
      </c>
      <c r="AR289" s="1202">
        <v>103290</v>
      </c>
      <c r="AS289" s="1202">
        <v>0</v>
      </c>
      <c r="AT289" s="1202">
        <v>0</v>
      </c>
      <c r="AU289" s="1202">
        <v>0</v>
      </c>
      <c r="AV289" s="1202">
        <v>0</v>
      </c>
      <c r="AW289" s="1202">
        <v>0</v>
      </c>
      <c r="AX289" s="1202">
        <v>0</v>
      </c>
      <c r="AY289" s="1202">
        <v>0</v>
      </c>
      <c r="AZ289" s="1202">
        <v>0</v>
      </c>
      <c r="BA289" s="1202">
        <v>0</v>
      </c>
      <c r="BB289" s="1202">
        <v>0</v>
      </c>
      <c r="BC289" s="1202">
        <v>0</v>
      </c>
      <c r="BD289" s="1202">
        <v>0</v>
      </c>
      <c r="BE289" s="1202">
        <v>0</v>
      </c>
      <c r="BF289" s="1202">
        <v>0</v>
      </c>
      <c r="BG289" s="1202">
        <v>0</v>
      </c>
      <c r="BH289" s="1202">
        <v>0</v>
      </c>
      <c r="BI289" s="1202">
        <v>0</v>
      </c>
      <c r="BJ289" s="1202">
        <v>22090</v>
      </c>
      <c r="BK289" s="1202">
        <v>0</v>
      </c>
      <c r="BL289" s="1202">
        <v>155</v>
      </c>
      <c r="BM289" s="1202">
        <v>97431</v>
      </c>
      <c r="BN289" s="1202">
        <v>0</v>
      </c>
      <c r="BO289" s="1202">
        <v>7637</v>
      </c>
      <c r="BP289" s="1202">
        <v>0</v>
      </c>
      <c r="BQ289" s="1202">
        <v>0</v>
      </c>
      <c r="BR289" s="1202">
        <v>0</v>
      </c>
      <c r="BS289" s="1202">
        <v>33020</v>
      </c>
      <c r="BT289" s="1202">
        <v>27755</v>
      </c>
      <c r="BU289" s="1202">
        <v>0</v>
      </c>
      <c r="BV289" s="1202">
        <v>0</v>
      </c>
      <c r="BW289" s="1202">
        <v>0</v>
      </c>
      <c r="BX289" s="1202">
        <v>0</v>
      </c>
      <c r="BY289" s="1202">
        <v>0</v>
      </c>
      <c r="BZ289" s="1202">
        <v>0</v>
      </c>
      <c r="CA289" s="1202">
        <v>863078</v>
      </c>
      <c r="CB289" s="1202">
        <v>0</v>
      </c>
    </row>
    <row r="290" spans="1:80" s="1156" customFormat="1" x14ac:dyDescent="0.3">
      <c r="A290" s="1152">
        <v>631</v>
      </c>
      <c r="B290" s="1152">
        <v>631</v>
      </c>
      <c r="C290" s="1205" t="s">
        <v>737</v>
      </c>
      <c r="D290" s="1154"/>
      <c r="E290" s="1200">
        <v>0</v>
      </c>
      <c r="F290" s="1201">
        <v>0</v>
      </c>
      <c r="G290" s="1201">
        <v>0</v>
      </c>
      <c r="H290" s="1201">
        <v>0</v>
      </c>
      <c r="I290" s="1201">
        <v>0</v>
      </c>
      <c r="J290" s="1201">
        <v>0</v>
      </c>
      <c r="K290" s="1201">
        <v>0</v>
      </c>
      <c r="L290" s="1202">
        <v>0</v>
      </c>
      <c r="M290" s="1202">
        <v>0</v>
      </c>
      <c r="N290" s="1202">
        <v>0</v>
      </c>
      <c r="O290" s="1202">
        <v>0</v>
      </c>
      <c r="P290" s="1202">
        <v>0</v>
      </c>
      <c r="Q290" s="1202">
        <v>0</v>
      </c>
      <c r="R290" s="1202">
        <v>0</v>
      </c>
      <c r="S290" s="1202">
        <v>0</v>
      </c>
      <c r="T290" s="1202">
        <v>0</v>
      </c>
      <c r="U290" s="1202">
        <v>0</v>
      </c>
      <c r="V290" s="1202">
        <v>0</v>
      </c>
      <c r="W290" s="1202">
        <v>0</v>
      </c>
      <c r="X290" s="1202">
        <v>0</v>
      </c>
      <c r="Y290" s="1202">
        <v>0</v>
      </c>
      <c r="Z290" s="1202">
        <v>0</v>
      </c>
      <c r="AA290" s="1202">
        <v>0</v>
      </c>
      <c r="AB290" s="1202">
        <v>0</v>
      </c>
      <c r="AC290" s="1202">
        <v>0</v>
      </c>
      <c r="AD290" s="1202">
        <v>0</v>
      </c>
      <c r="AE290" s="1202">
        <v>0</v>
      </c>
      <c r="AF290" s="1202">
        <v>0</v>
      </c>
      <c r="AG290" s="1202">
        <v>0</v>
      </c>
      <c r="AH290" s="1202">
        <v>0</v>
      </c>
      <c r="AI290" s="1202">
        <v>0</v>
      </c>
      <c r="AJ290" s="1202">
        <v>0</v>
      </c>
      <c r="AK290" s="1202">
        <v>0</v>
      </c>
      <c r="AL290" s="1202">
        <v>0</v>
      </c>
      <c r="AM290" s="1202">
        <v>0</v>
      </c>
      <c r="AN290" s="1202">
        <v>0</v>
      </c>
      <c r="AO290" s="1202">
        <v>0</v>
      </c>
      <c r="AP290" s="1202">
        <v>0</v>
      </c>
      <c r="AQ290" s="1202">
        <v>0</v>
      </c>
      <c r="AR290" s="1202">
        <v>0</v>
      </c>
      <c r="AS290" s="1202">
        <v>0</v>
      </c>
      <c r="AT290" s="1202">
        <v>0</v>
      </c>
      <c r="AU290" s="1202">
        <v>0</v>
      </c>
      <c r="AV290" s="1202">
        <v>0</v>
      </c>
      <c r="AW290" s="1202">
        <v>0</v>
      </c>
      <c r="AX290" s="1202">
        <v>0</v>
      </c>
      <c r="AY290" s="1202">
        <v>0</v>
      </c>
      <c r="AZ290" s="1202">
        <v>0</v>
      </c>
      <c r="BA290" s="1202">
        <v>0</v>
      </c>
      <c r="BB290" s="1202">
        <v>0</v>
      </c>
      <c r="BC290" s="1202">
        <v>0</v>
      </c>
      <c r="BD290" s="1202">
        <v>0</v>
      </c>
      <c r="BE290" s="1202">
        <v>0</v>
      </c>
      <c r="BF290" s="1202">
        <v>0</v>
      </c>
      <c r="BG290" s="1202">
        <v>0</v>
      </c>
      <c r="BH290" s="1202">
        <v>0</v>
      </c>
      <c r="BI290" s="1202">
        <v>0</v>
      </c>
      <c r="BJ290" s="1202">
        <v>0</v>
      </c>
      <c r="BK290" s="1202">
        <v>0</v>
      </c>
      <c r="BL290" s="1202">
        <v>0</v>
      </c>
      <c r="BM290" s="1202">
        <v>0</v>
      </c>
      <c r="BN290" s="1202">
        <v>0</v>
      </c>
      <c r="BO290" s="1202">
        <v>0</v>
      </c>
      <c r="BP290" s="1202">
        <v>0</v>
      </c>
      <c r="BQ290" s="1202">
        <v>0</v>
      </c>
      <c r="BR290" s="1202">
        <v>0</v>
      </c>
      <c r="BS290" s="1202">
        <v>0</v>
      </c>
      <c r="BT290" s="1202">
        <v>0</v>
      </c>
      <c r="BU290" s="1202">
        <v>0</v>
      </c>
      <c r="BV290" s="1202">
        <v>2749874</v>
      </c>
      <c r="BW290" s="1202">
        <v>0</v>
      </c>
      <c r="BX290" s="1202">
        <v>0</v>
      </c>
      <c r="BY290" s="1202">
        <v>0</v>
      </c>
      <c r="BZ290" s="1202">
        <v>0</v>
      </c>
      <c r="CA290" s="1202">
        <v>0</v>
      </c>
      <c r="CB290" s="1202">
        <v>0</v>
      </c>
    </row>
    <row r="291" spans="1:80" s="1156" customFormat="1" x14ac:dyDescent="0.3">
      <c r="A291" s="1152">
        <v>632</v>
      </c>
      <c r="B291" s="1152">
        <v>632</v>
      </c>
      <c r="C291" s="1205" t="s">
        <v>736</v>
      </c>
      <c r="D291" s="1154"/>
      <c r="E291" s="1200">
        <v>0</v>
      </c>
      <c r="F291" s="1201">
        <v>0</v>
      </c>
      <c r="G291" s="1201">
        <v>0</v>
      </c>
      <c r="H291" s="1201">
        <v>0</v>
      </c>
      <c r="I291" s="1201">
        <v>0</v>
      </c>
      <c r="J291" s="1201">
        <v>0</v>
      </c>
      <c r="K291" s="1201">
        <v>0</v>
      </c>
      <c r="L291" s="1202">
        <v>0</v>
      </c>
      <c r="M291" s="1202">
        <v>0</v>
      </c>
      <c r="N291" s="1202">
        <v>0</v>
      </c>
      <c r="O291" s="1202">
        <v>0</v>
      </c>
      <c r="P291" s="1202">
        <v>0</v>
      </c>
      <c r="Q291" s="1202">
        <v>0</v>
      </c>
      <c r="R291" s="1202">
        <v>0</v>
      </c>
      <c r="S291" s="1202">
        <v>0</v>
      </c>
      <c r="T291" s="1202">
        <v>0</v>
      </c>
      <c r="U291" s="1202">
        <v>0</v>
      </c>
      <c r="V291" s="1202">
        <v>0</v>
      </c>
      <c r="W291" s="1202">
        <v>0</v>
      </c>
      <c r="X291" s="1202">
        <v>0</v>
      </c>
      <c r="Y291" s="1202">
        <v>0</v>
      </c>
      <c r="Z291" s="1202">
        <v>0</v>
      </c>
      <c r="AA291" s="1202">
        <v>0</v>
      </c>
      <c r="AB291" s="1202">
        <v>0</v>
      </c>
      <c r="AC291" s="1202">
        <v>0</v>
      </c>
      <c r="AD291" s="1202">
        <v>0</v>
      </c>
      <c r="AE291" s="1202">
        <v>0</v>
      </c>
      <c r="AF291" s="1202">
        <v>0</v>
      </c>
      <c r="AG291" s="1202">
        <v>0</v>
      </c>
      <c r="AH291" s="1202">
        <v>0</v>
      </c>
      <c r="AI291" s="1202">
        <v>0</v>
      </c>
      <c r="AJ291" s="1202">
        <v>0</v>
      </c>
      <c r="AK291" s="1202">
        <v>0</v>
      </c>
      <c r="AL291" s="1202">
        <v>0</v>
      </c>
      <c r="AM291" s="1202">
        <v>0</v>
      </c>
      <c r="AN291" s="1202">
        <v>0</v>
      </c>
      <c r="AO291" s="1202">
        <v>0</v>
      </c>
      <c r="AP291" s="1202">
        <v>0</v>
      </c>
      <c r="AQ291" s="1202">
        <v>0</v>
      </c>
      <c r="AR291" s="1202">
        <v>0</v>
      </c>
      <c r="AS291" s="1202">
        <v>0</v>
      </c>
      <c r="AT291" s="1202">
        <v>0</v>
      </c>
      <c r="AU291" s="1202">
        <v>0</v>
      </c>
      <c r="AV291" s="1202">
        <v>0</v>
      </c>
      <c r="AW291" s="1202">
        <v>0</v>
      </c>
      <c r="AX291" s="1202">
        <v>0</v>
      </c>
      <c r="AY291" s="1202">
        <v>0</v>
      </c>
      <c r="AZ291" s="1202">
        <v>0</v>
      </c>
      <c r="BA291" s="1202">
        <v>0</v>
      </c>
      <c r="BB291" s="1202">
        <v>0</v>
      </c>
      <c r="BC291" s="1202">
        <v>0</v>
      </c>
      <c r="BD291" s="1202">
        <v>0</v>
      </c>
      <c r="BE291" s="1202">
        <v>0</v>
      </c>
      <c r="BF291" s="1202">
        <v>0</v>
      </c>
      <c r="BG291" s="1202">
        <v>0</v>
      </c>
      <c r="BH291" s="1202">
        <v>0</v>
      </c>
      <c r="BI291" s="1202">
        <v>0</v>
      </c>
      <c r="BJ291" s="1202">
        <v>0</v>
      </c>
      <c r="BK291" s="1202">
        <v>0</v>
      </c>
      <c r="BL291" s="1202">
        <v>0</v>
      </c>
      <c r="BM291" s="1202">
        <v>0</v>
      </c>
      <c r="BN291" s="1202">
        <v>0</v>
      </c>
      <c r="BO291" s="1202">
        <v>0</v>
      </c>
      <c r="BP291" s="1202">
        <v>0</v>
      </c>
      <c r="BQ291" s="1202">
        <v>0</v>
      </c>
      <c r="BR291" s="1202">
        <v>0</v>
      </c>
      <c r="BS291" s="1202">
        <v>0</v>
      </c>
      <c r="BT291" s="1202">
        <v>0</v>
      </c>
      <c r="BU291" s="1202">
        <v>0</v>
      </c>
      <c r="BV291" s="1202">
        <v>0</v>
      </c>
      <c r="BW291" s="1202">
        <v>0</v>
      </c>
      <c r="BX291" s="1202">
        <v>0</v>
      </c>
      <c r="BY291" s="1202">
        <v>0</v>
      </c>
      <c r="BZ291" s="1202">
        <v>0</v>
      </c>
      <c r="CA291" s="1202">
        <v>0</v>
      </c>
      <c r="CB291" s="1202">
        <v>0</v>
      </c>
    </row>
    <row r="292" spans="1:80" s="1156" customFormat="1" ht="28.8" x14ac:dyDescent="0.3">
      <c r="A292" s="1152">
        <v>633</v>
      </c>
      <c r="B292" s="1152">
        <v>633</v>
      </c>
      <c r="C292" s="1205" t="s">
        <v>744</v>
      </c>
      <c r="D292" s="1154"/>
      <c r="E292" s="1200">
        <v>0</v>
      </c>
      <c r="F292" s="1201">
        <v>0</v>
      </c>
      <c r="G292" s="1201">
        <v>0</v>
      </c>
      <c r="H292" s="1201">
        <v>6735863</v>
      </c>
      <c r="I292" s="1201">
        <v>369567</v>
      </c>
      <c r="J292" s="1201">
        <v>56158</v>
      </c>
      <c r="K292" s="1201">
        <v>97782</v>
      </c>
      <c r="L292" s="1202">
        <v>421954</v>
      </c>
      <c r="M292" s="1202">
        <v>5327530</v>
      </c>
      <c r="N292" s="1202">
        <v>0</v>
      </c>
      <c r="O292" s="1202">
        <v>32787</v>
      </c>
      <c r="P292" s="1202">
        <v>127286</v>
      </c>
      <c r="Q292" s="1202">
        <v>0</v>
      </c>
      <c r="R292" s="1202">
        <v>999206</v>
      </c>
      <c r="S292" s="1202">
        <v>1579924</v>
      </c>
      <c r="T292" s="1202">
        <v>1898739</v>
      </c>
      <c r="U292" s="1202">
        <v>0</v>
      </c>
      <c r="V292" s="1202">
        <v>4938040</v>
      </c>
      <c r="W292" s="1202">
        <v>0</v>
      </c>
      <c r="X292" s="1202">
        <v>0</v>
      </c>
      <c r="Y292" s="1202">
        <v>148950</v>
      </c>
      <c r="Z292" s="1202">
        <v>498227</v>
      </c>
      <c r="AA292" s="1202">
        <v>33516</v>
      </c>
      <c r="AB292" s="1202">
        <v>351333</v>
      </c>
      <c r="AC292" s="1202">
        <v>0</v>
      </c>
      <c r="AD292" s="1202">
        <v>18873</v>
      </c>
      <c r="AE292" s="1202">
        <v>149271</v>
      </c>
      <c r="AF292" s="1202">
        <v>754778</v>
      </c>
      <c r="AG292" s="1202">
        <v>7169</v>
      </c>
      <c r="AH292" s="1202">
        <v>0</v>
      </c>
      <c r="AI292" s="1202">
        <v>0</v>
      </c>
      <c r="AJ292" s="1202">
        <v>33417</v>
      </c>
      <c r="AK292" s="1202">
        <v>1117124</v>
      </c>
      <c r="AL292" s="1202">
        <v>21475</v>
      </c>
      <c r="AM292" s="1202">
        <v>0</v>
      </c>
      <c r="AN292" s="1202">
        <v>2503448</v>
      </c>
      <c r="AO292" s="1202">
        <v>2178723</v>
      </c>
      <c r="AP292" s="1202">
        <v>32070</v>
      </c>
      <c r="AQ292" s="1202">
        <v>0</v>
      </c>
      <c r="AR292" s="1202">
        <v>1438427</v>
      </c>
      <c r="AS292" s="1202">
        <v>231780</v>
      </c>
      <c r="AT292" s="1202">
        <v>39753</v>
      </c>
      <c r="AU292" s="1202">
        <v>242482</v>
      </c>
      <c r="AV292" s="1202">
        <v>2980628</v>
      </c>
      <c r="AW292" s="1202">
        <v>85737</v>
      </c>
      <c r="AX292" s="1202">
        <v>55452</v>
      </c>
      <c r="AY292" s="1202">
        <v>61980</v>
      </c>
      <c r="AZ292" s="1202">
        <v>140531</v>
      </c>
      <c r="BA292" s="1202">
        <v>317093</v>
      </c>
      <c r="BB292" s="1202">
        <v>16123</v>
      </c>
      <c r="BC292" s="1202">
        <v>183333</v>
      </c>
      <c r="BD292" s="1202">
        <v>0</v>
      </c>
      <c r="BE292" s="1202">
        <v>0</v>
      </c>
      <c r="BF292" s="1202">
        <v>1058269</v>
      </c>
      <c r="BG292" s="1202">
        <v>0</v>
      </c>
      <c r="BH292" s="1202">
        <v>0</v>
      </c>
      <c r="BI292" s="1202">
        <v>359701</v>
      </c>
      <c r="BJ292" s="1202">
        <v>223939</v>
      </c>
      <c r="BK292" s="1202">
        <v>54684</v>
      </c>
      <c r="BL292" s="1202">
        <v>217836</v>
      </c>
      <c r="BM292" s="1202">
        <v>285416</v>
      </c>
      <c r="BN292" s="1202">
        <v>0</v>
      </c>
      <c r="BO292" s="1202">
        <v>634947</v>
      </c>
      <c r="BP292" s="1202">
        <v>226325</v>
      </c>
      <c r="BQ292" s="1202">
        <v>63846</v>
      </c>
      <c r="BR292" s="1202">
        <v>799399</v>
      </c>
      <c r="BS292" s="1202">
        <v>0</v>
      </c>
      <c r="BT292" s="1202">
        <v>0</v>
      </c>
      <c r="BU292" s="1202">
        <v>121908</v>
      </c>
      <c r="BV292" s="1202">
        <v>539022</v>
      </c>
      <c r="BW292" s="1202">
        <v>686678</v>
      </c>
      <c r="BX292" s="1202">
        <v>596266</v>
      </c>
      <c r="BY292" s="1202">
        <v>0</v>
      </c>
      <c r="BZ292" s="1202">
        <v>0</v>
      </c>
      <c r="CA292" s="1202">
        <v>2053250</v>
      </c>
      <c r="CB292" s="1202">
        <v>0</v>
      </c>
    </row>
    <row r="293" spans="1:80" s="1156" customFormat="1" x14ac:dyDescent="0.3">
      <c r="A293" s="1152">
        <v>634</v>
      </c>
      <c r="B293" s="1152">
        <v>634</v>
      </c>
      <c r="C293" s="1205" t="s">
        <v>745</v>
      </c>
      <c r="D293" s="1154"/>
      <c r="E293" s="1200">
        <v>0</v>
      </c>
      <c r="F293" s="1201">
        <v>0</v>
      </c>
      <c r="G293" s="1201">
        <v>0</v>
      </c>
      <c r="H293" s="1201">
        <v>0</v>
      </c>
      <c r="I293" s="1201">
        <v>0</v>
      </c>
      <c r="J293" s="1201">
        <v>0</v>
      </c>
      <c r="K293" s="1201">
        <v>0</v>
      </c>
      <c r="L293" s="1202">
        <v>0</v>
      </c>
      <c r="M293" s="1202">
        <v>0</v>
      </c>
      <c r="N293" s="1202">
        <v>0</v>
      </c>
      <c r="O293" s="1202">
        <v>0</v>
      </c>
      <c r="P293" s="1202">
        <v>0</v>
      </c>
      <c r="Q293" s="1202">
        <v>0</v>
      </c>
      <c r="R293" s="1202">
        <v>0</v>
      </c>
      <c r="S293" s="1202">
        <v>0</v>
      </c>
      <c r="T293" s="1202">
        <v>0</v>
      </c>
      <c r="U293" s="1202">
        <v>0</v>
      </c>
      <c r="V293" s="1202">
        <v>595960</v>
      </c>
      <c r="W293" s="1202">
        <v>0</v>
      </c>
      <c r="X293" s="1202">
        <v>0</v>
      </c>
      <c r="Y293" s="1202">
        <v>146632</v>
      </c>
      <c r="Z293" s="1202">
        <v>0</v>
      </c>
      <c r="AA293" s="1202">
        <v>0</v>
      </c>
      <c r="AB293" s="1202">
        <v>0</v>
      </c>
      <c r="AC293" s="1202">
        <v>0</v>
      </c>
      <c r="AD293" s="1202">
        <v>0</v>
      </c>
      <c r="AE293" s="1202">
        <v>0</v>
      </c>
      <c r="AF293" s="1202">
        <v>0</v>
      </c>
      <c r="AG293" s="1202">
        <v>0</v>
      </c>
      <c r="AH293" s="1202">
        <v>0</v>
      </c>
      <c r="AI293" s="1202">
        <v>0</v>
      </c>
      <c r="AJ293" s="1202">
        <v>0</v>
      </c>
      <c r="AK293" s="1202">
        <v>0</v>
      </c>
      <c r="AL293" s="1202">
        <v>0</v>
      </c>
      <c r="AM293" s="1202">
        <v>0</v>
      </c>
      <c r="AN293" s="1202">
        <v>0</v>
      </c>
      <c r="AO293" s="1202">
        <v>0</v>
      </c>
      <c r="AP293" s="1202">
        <v>0</v>
      </c>
      <c r="AQ293" s="1202">
        <v>0</v>
      </c>
      <c r="AR293" s="1202">
        <v>0</v>
      </c>
      <c r="AS293" s="1202">
        <v>0</v>
      </c>
      <c r="AT293" s="1202">
        <v>0</v>
      </c>
      <c r="AU293" s="1202">
        <v>0</v>
      </c>
      <c r="AV293" s="1202">
        <v>0</v>
      </c>
      <c r="AW293" s="1202">
        <v>0</v>
      </c>
      <c r="AX293" s="1202">
        <v>0</v>
      </c>
      <c r="AY293" s="1202">
        <v>0</v>
      </c>
      <c r="AZ293" s="1202">
        <v>0</v>
      </c>
      <c r="BA293" s="1202">
        <v>0</v>
      </c>
      <c r="BB293" s="1202">
        <v>0</v>
      </c>
      <c r="BC293" s="1202">
        <v>0</v>
      </c>
      <c r="BD293" s="1202">
        <v>0</v>
      </c>
      <c r="BE293" s="1202">
        <v>0</v>
      </c>
      <c r="BF293" s="1202">
        <v>0</v>
      </c>
      <c r="BG293" s="1202">
        <v>0</v>
      </c>
      <c r="BH293" s="1202">
        <v>0</v>
      </c>
      <c r="BI293" s="1202">
        <v>0</v>
      </c>
      <c r="BJ293" s="1202">
        <v>0</v>
      </c>
      <c r="BK293" s="1202">
        <v>0</v>
      </c>
      <c r="BL293" s="1202">
        <v>0</v>
      </c>
      <c r="BM293" s="1202">
        <v>36664</v>
      </c>
      <c r="BN293" s="1202">
        <v>0</v>
      </c>
      <c r="BO293" s="1202">
        <v>0</v>
      </c>
      <c r="BP293" s="1202">
        <v>0</v>
      </c>
      <c r="BQ293" s="1202">
        <v>0</v>
      </c>
      <c r="BR293" s="1202">
        <v>0</v>
      </c>
      <c r="BS293" s="1202">
        <v>0</v>
      </c>
      <c r="BT293" s="1202">
        <v>0</v>
      </c>
      <c r="BU293" s="1202">
        <v>0</v>
      </c>
      <c r="BV293" s="1202">
        <v>0</v>
      </c>
      <c r="BW293" s="1202">
        <v>567000</v>
      </c>
      <c r="BX293" s="1202">
        <v>0</v>
      </c>
      <c r="BY293" s="1202">
        <v>0</v>
      </c>
      <c r="BZ293" s="1202">
        <v>0</v>
      </c>
      <c r="CA293" s="1202">
        <v>0</v>
      </c>
      <c r="CB293" s="1202">
        <v>0</v>
      </c>
    </row>
    <row r="294" spans="1:80" s="1156" customFormat="1" x14ac:dyDescent="0.3">
      <c r="A294" s="1152">
        <v>635</v>
      </c>
      <c r="B294" s="1152">
        <v>635</v>
      </c>
      <c r="C294" s="1205" t="s">
        <v>746</v>
      </c>
      <c r="D294" s="1154"/>
      <c r="E294" s="1200">
        <v>0</v>
      </c>
      <c r="F294" s="1201">
        <v>0</v>
      </c>
      <c r="G294" s="1201">
        <v>0</v>
      </c>
      <c r="H294" s="1201">
        <v>230691</v>
      </c>
      <c r="I294" s="1201">
        <v>20000</v>
      </c>
      <c r="J294" s="1201">
        <v>2118</v>
      </c>
      <c r="K294" s="1201">
        <v>15912</v>
      </c>
      <c r="L294" s="1202">
        <v>18446</v>
      </c>
      <c r="M294" s="1202">
        <v>164684</v>
      </c>
      <c r="N294" s="1202">
        <v>0</v>
      </c>
      <c r="O294" s="1202">
        <v>2720</v>
      </c>
      <c r="P294" s="1202">
        <v>24763</v>
      </c>
      <c r="Q294" s="1202">
        <v>0</v>
      </c>
      <c r="R294" s="1202">
        <v>70000</v>
      </c>
      <c r="S294" s="1202">
        <v>74515</v>
      </c>
      <c r="T294" s="1202">
        <v>33744</v>
      </c>
      <c r="U294" s="1202">
        <v>0</v>
      </c>
      <c r="V294" s="1202">
        <v>26007</v>
      </c>
      <c r="W294" s="1202">
        <v>0</v>
      </c>
      <c r="X294" s="1202">
        <v>0</v>
      </c>
      <c r="Y294" s="1202">
        <v>0</v>
      </c>
      <c r="Z294" s="1202">
        <v>24000</v>
      </c>
      <c r="AA294" s="1202">
        <v>0</v>
      </c>
      <c r="AB294" s="1202">
        <v>257</v>
      </c>
      <c r="AC294" s="1202">
        <v>0</v>
      </c>
      <c r="AD294" s="1202">
        <v>0</v>
      </c>
      <c r="AE294" s="1202">
        <v>5629</v>
      </c>
      <c r="AF294" s="1202">
        <v>0</v>
      </c>
      <c r="AG294" s="1202">
        <v>0</v>
      </c>
      <c r="AH294" s="1202">
        <v>0</v>
      </c>
      <c r="AI294" s="1202">
        <v>0</v>
      </c>
      <c r="AJ294" s="1202">
        <v>0</v>
      </c>
      <c r="AK294" s="1202">
        <v>22012</v>
      </c>
      <c r="AL294" s="1202">
        <v>0</v>
      </c>
      <c r="AM294" s="1202">
        <v>0</v>
      </c>
      <c r="AN294" s="1202">
        <v>0</v>
      </c>
      <c r="AO294" s="1202">
        <v>86066</v>
      </c>
      <c r="AP294" s="1202">
        <v>0</v>
      </c>
      <c r="AQ294" s="1202">
        <v>0</v>
      </c>
      <c r="AR294" s="1202">
        <v>136000</v>
      </c>
      <c r="AS294" s="1202">
        <v>18459</v>
      </c>
      <c r="AT294" s="1202">
        <v>0</v>
      </c>
      <c r="AU294" s="1202">
        <v>0</v>
      </c>
      <c r="AV294" s="1202">
        <v>61435</v>
      </c>
      <c r="AW294" s="1202">
        <v>2317</v>
      </c>
      <c r="AX294" s="1202">
        <v>0</v>
      </c>
      <c r="AY294" s="1202">
        <v>0</v>
      </c>
      <c r="AZ294" s="1202">
        <v>0</v>
      </c>
      <c r="BA294" s="1202">
        <v>0</v>
      </c>
      <c r="BB294" s="1202">
        <v>0</v>
      </c>
      <c r="BC294" s="1202">
        <v>0</v>
      </c>
      <c r="BD294" s="1202">
        <v>0</v>
      </c>
      <c r="BE294" s="1202">
        <v>0</v>
      </c>
      <c r="BF294" s="1202">
        <v>62376</v>
      </c>
      <c r="BG294" s="1202">
        <v>0</v>
      </c>
      <c r="BH294" s="1202">
        <v>0</v>
      </c>
      <c r="BI294" s="1202">
        <v>0</v>
      </c>
      <c r="BJ294" s="1202">
        <v>16822</v>
      </c>
      <c r="BK294" s="1202">
        <v>8307</v>
      </c>
      <c r="BL294" s="1202">
        <v>13059</v>
      </c>
      <c r="BM294" s="1202">
        <v>8158</v>
      </c>
      <c r="BN294" s="1202">
        <v>0</v>
      </c>
      <c r="BO294" s="1202">
        <v>30400</v>
      </c>
      <c r="BP294" s="1202">
        <v>11509</v>
      </c>
      <c r="BQ294" s="1202">
        <v>3523</v>
      </c>
      <c r="BR294" s="1202">
        <v>0</v>
      </c>
      <c r="BS294" s="1202">
        <v>0</v>
      </c>
      <c r="BT294" s="1202">
        <v>0</v>
      </c>
      <c r="BU294" s="1202">
        <v>0</v>
      </c>
      <c r="BV294" s="1202">
        <v>50043</v>
      </c>
      <c r="BW294" s="1202">
        <v>3000</v>
      </c>
      <c r="BX294" s="1202">
        <v>0</v>
      </c>
      <c r="BY294" s="1202">
        <v>0</v>
      </c>
      <c r="BZ294" s="1202">
        <v>0</v>
      </c>
      <c r="CA294" s="1202">
        <v>68558</v>
      </c>
      <c r="CB294" s="1202">
        <v>0</v>
      </c>
    </row>
    <row r="295" spans="1:80" s="1156" customFormat="1" x14ac:dyDescent="0.3">
      <c r="A295" s="1152">
        <v>636</v>
      </c>
      <c r="B295" s="1152">
        <v>636</v>
      </c>
      <c r="C295" s="1205" t="s">
        <v>741</v>
      </c>
      <c r="D295" s="1154"/>
      <c r="E295" s="1200">
        <v>0</v>
      </c>
      <c r="F295" s="1201">
        <v>0</v>
      </c>
      <c r="G295" s="1201">
        <v>0</v>
      </c>
      <c r="H295" s="1201">
        <v>0</v>
      </c>
      <c r="I295" s="1201">
        <v>0</v>
      </c>
      <c r="J295" s="1201">
        <v>0</v>
      </c>
      <c r="K295" s="1201">
        <v>0</v>
      </c>
      <c r="L295" s="1202">
        <v>0</v>
      </c>
      <c r="M295" s="1202">
        <v>0</v>
      </c>
      <c r="N295" s="1202">
        <v>0</v>
      </c>
      <c r="O295" s="1202">
        <v>0</v>
      </c>
      <c r="P295" s="1202">
        <v>0</v>
      </c>
      <c r="Q295" s="1202">
        <v>0</v>
      </c>
      <c r="R295" s="1202">
        <v>0</v>
      </c>
      <c r="S295" s="1202">
        <v>0</v>
      </c>
      <c r="T295" s="1202">
        <v>0</v>
      </c>
      <c r="U295" s="1202">
        <v>0</v>
      </c>
      <c r="V295" s="1202">
        <v>0</v>
      </c>
      <c r="W295" s="1202">
        <v>0</v>
      </c>
      <c r="X295" s="1202">
        <v>0</v>
      </c>
      <c r="Y295" s="1202">
        <v>0</v>
      </c>
      <c r="Z295" s="1202">
        <v>0</v>
      </c>
      <c r="AA295" s="1202">
        <v>0</v>
      </c>
      <c r="AB295" s="1202">
        <v>0</v>
      </c>
      <c r="AC295" s="1202">
        <v>0</v>
      </c>
      <c r="AD295" s="1202">
        <v>0</v>
      </c>
      <c r="AE295" s="1202">
        <v>0</v>
      </c>
      <c r="AF295" s="1202">
        <v>0</v>
      </c>
      <c r="AG295" s="1202">
        <v>0</v>
      </c>
      <c r="AH295" s="1202">
        <v>0</v>
      </c>
      <c r="AI295" s="1202">
        <v>0</v>
      </c>
      <c r="AJ295" s="1202">
        <v>0</v>
      </c>
      <c r="AK295" s="1202">
        <v>0</v>
      </c>
      <c r="AL295" s="1202">
        <v>0</v>
      </c>
      <c r="AM295" s="1202">
        <v>0</v>
      </c>
      <c r="AN295" s="1202">
        <v>0</v>
      </c>
      <c r="AO295" s="1202">
        <v>0</v>
      </c>
      <c r="AP295" s="1202">
        <v>0</v>
      </c>
      <c r="AQ295" s="1202">
        <v>0</v>
      </c>
      <c r="AR295" s="1202">
        <v>0</v>
      </c>
      <c r="AS295" s="1202">
        <v>0</v>
      </c>
      <c r="AT295" s="1202">
        <v>0</v>
      </c>
      <c r="AU295" s="1202">
        <v>0</v>
      </c>
      <c r="AV295" s="1202">
        <v>0</v>
      </c>
      <c r="AW295" s="1202">
        <v>0</v>
      </c>
      <c r="AX295" s="1202">
        <v>0</v>
      </c>
      <c r="AY295" s="1202">
        <v>0</v>
      </c>
      <c r="AZ295" s="1202">
        <v>0</v>
      </c>
      <c r="BA295" s="1202">
        <v>0</v>
      </c>
      <c r="BB295" s="1202">
        <v>0</v>
      </c>
      <c r="BC295" s="1202">
        <v>0</v>
      </c>
      <c r="BD295" s="1202">
        <v>0</v>
      </c>
      <c r="BE295" s="1202">
        <v>0</v>
      </c>
      <c r="BF295" s="1202">
        <v>0</v>
      </c>
      <c r="BG295" s="1202">
        <v>0</v>
      </c>
      <c r="BH295" s="1202">
        <v>0</v>
      </c>
      <c r="BI295" s="1202">
        <v>0</v>
      </c>
      <c r="BJ295" s="1202">
        <v>0</v>
      </c>
      <c r="BK295" s="1202">
        <v>0</v>
      </c>
      <c r="BL295" s="1202">
        <v>0</v>
      </c>
      <c r="BM295" s="1202">
        <v>0</v>
      </c>
      <c r="BN295" s="1202">
        <v>0</v>
      </c>
      <c r="BO295" s="1202">
        <v>0</v>
      </c>
      <c r="BP295" s="1202">
        <v>0</v>
      </c>
      <c r="BQ295" s="1202">
        <v>0</v>
      </c>
      <c r="BR295" s="1202">
        <v>0</v>
      </c>
      <c r="BS295" s="1202">
        <v>0</v>
      </c>
      <c r="BT295" s="1202">
        <v>0</v>
      </c>
      <c r="BU295" s="1202">
        <v>0</v>
      </c>
      <c r="BV295" s="1202">
        <v>193613</v>
      </c>
      <c r="BW295" s="1202">
        <v>0</v>
      </c>
      <c r="BX295" s="1202">
        <v>0</v>
      </c>
      <c r="BY295" s="1202">
        <v>0</v>
      </c>
      <c r="BZ295" s="1202">
        <v>0</v>
      </c>
      <c r="CA295" s="1202">
        <v>0</v>
      </c>
      <c r="CB295" s="1202">
        <v>0</v>
      </c>
    </row>
    <row r="296" spans="1:80" s="1156" customFormat="1" ht="28.8" x14ac:dyDescent="0.3">
      <c r="A296" s="1152">
        <v>637</v>
      </c>
      <c r="B296" s="1152">
        <v>637</v>
      </c>
      <c r="C296" s="1205" t="s">
        <v>742</v>
      </c>
      <c r="D296" s="1154"/>
      <c r="E296" s="1200">
        <v>0</v>
      </c>
      <c r="F296" s="1201">
        <v>0</v>
      </c>
      <c r="G296" s="1201">
        <v>0</v>
      </c>
      <c r="H296" s="1201">
        <v>0</v>
      </c>
      <c r="I296" s="1201">
        <v>39856</v>
      </c>
      <c r="J296" s="1201">
        <v>26586</v>
      </c>
      <c r="K296" s="1201">
        <v>72465</v>
      </c>
      <c r="L296" s="1202">
        <v>0</v>
      </c>
      <c r="M296" s="1202">
        <v>436829</v>
      </c>
      <c r="N296" s="1202">
        <v>0</v>
      </c>
      <c r="O296" s="1202">
        <v>0</v>
      </c>
      <c r="P296" s="1202">
        <v>65650</v>
      </c>
      <c r="Q296" s="1202">
        <v>0</v>
      </c>
      <c r="R296" s="1202">
        <v>0</v>
      </c>
      <c r="S296" s="1202">
        <v>0</v>
      </c>
      <c r="T296" s="1202">
        <v>55475</v>
      </c>
      <c r="U296" s="1202">
        <v>0</v>
      </c>
      <c r="V296" s="1202">
        <v>0</v>
      </c>
      <c r="W296" s="1202">
        <v>0</v>
      </c>
      <c r="X296" s="1202">
        <v>0</v>
      </c>
      <c r="Y296" s="1202">
        <v>0</v>
      </c>
      <c r="Z296" s="1202">
        <v>0</v>
      </c>
      <c r="AA296" s="1202">
        <v>0</v>
      </c>
      <c r="AB296" s="1202">
        <v>0</v>
      </c>
      <c r="AC296" s="1202">
        <v>0</v>
      </c>
      <c r="AD296" s="1202">
        <v>0</v>
      </c>
      <c r="AE296" s="1202">
        <v>31299</v>
      </c>
      <c r="AF296" s="1202">
        <v>0</v>
      </c>
      <c r="AG296" s="1202">
        <v>0</v>
      </c>
      <c r="AH296" s="1202">
        <v>0</v>
      </c>
      <c r="AI296" s="1202">
        <v>0</v>
      </c>
      <c r="AJ296" s="1202">
        <v>0</v>
      </c>
      <c r="AK296" s="1202">
        <v>0</v>
      </c>
      <c r="AL296" s="1202">
        <v>0</v>
      </c>
      <c r="AM296" s="1202">
        <v>0</v>
      </c>
      <c r="AN296" s="1202">
        <v>0</v>
      </c>
      <c r="AO296" s="1202">
        <v>86066</v>
      </c>
      <c r="AP296" s="1202">
        <v>0</v>
      </c>
      <c r="AQ296" s="1202">
        <v>0</v>
      </c>
      <c r="AR296" s="1202">
        <v>50765</v>
      </c>
      <c r="AS296" s="1202">
        <v>137850</v>
      </c>
      <c r="AT296" s="1202">
        <v>24561</v>
      </c>
      <c r="AU296" s="1202">
        <v>0</v>
      </c>
      <c r="AV296" s="1202">
        <v>121988</v>
      </c>
      <c r="AW296" s="1202">
        <v>49900</v>
      </c>
      <c r="AX296" s="1202">
        <v>0</v>
      </c>
      <c r="AY296" s="1202">
        <v>0</v>
      </c>
      <c r="AZ296" s="1202">
        <v>73103</v>
      </c>
      <c r="BA296" s="1202">
        <v>0</v>
      </c>
      <c r="BB296" s="1202">
        <v>0</v>
      </c>
      <c r="BC296" s="1202">
        <v>0</v>
      </c>
      <c r="BD296" s="1202">
        <v>0</v>
      </c>
      <c r="BE296" s="1202">
        <v>0</v>
      </c>
      <c r="BF296" s="1202">
        <v>40370</v>
      </c>
      <c r="BG296" s="1202">
        <v>0</v>
      </c>
      <c r="BH296" s="1202">
        <v>0</v>
      </c>
      <c r="BI296" s="1202">
        <v>0</v>
      </c>
      <c r="BJ296" s="1202">
        <v>0</v>
      </c>
      <c r="BK296" s="1202">
        <v>0</v>
      </c>
      <c r="BL296" s="1202">
        <v>38980</v>
      </c>
      <c r="BM296" s="1202">
        <v>57422</v>
      </c>
      <c r="BN296" s="1202">
        <v>0</v>
      </c>
      <c r="BO296" s="1202">
        <v>248740</v>
      </c>
      <c r="BP296" s="1202">
        <v>0</v>
      </c>
      <c r="BQ296" s="1202">
        <v>39450</v>
      </c>
      <c r="BR296" s="1202">
        <v>64381</v>
      </c>
      <c r="BS296" s="1202">
        <v>0</v>
      </c>
      <c r="BT296" s="1202">
        <v>0</v>
      </c>
      <c r="BU296" s="1202">
        <v>0</v>
      </c>
      <c r="BV296" s="1202">
        <v>0</v>
      </c>
      <c r="BW296" s="1202">
        <v>42761</v>
      </c>
      <c r="BX296" s="1202">
        <v>26655</v>
      </c>
      <c r="BY296" s="1202">
        <v>0</v>
      </c>
      <c r="BZ296" s="1202">
        <v>0</v>
      </c>
      <c r="CA296" s="1202">
        <v>602881</v>
      </c>
      <c r="CB296" s="1202">
        <v>0</v>
      </c>
    </row>
    <row r="297" spans="1:80" s="1156" customFormat="1" x14ac:dyDescent="0.3">
      <c r="A297" s="1152">
        <v>638</v>
      </c>
      <c r="B297" s="1152">
        <v>638</v>
      </c>
      <c r="C297" s="1205" t="s">
        <v>747</v>
      </c>
      <c r="D297" s="1154"/>
      <c r="E297" s="1200">
        <v>0</v>
      </c>
      <c r="F297" s="1201">
        <v>0</v>
      </c>
      <c r="G297" s="1201">
        <v>0</v>
      </c>
      <c r="H297" s="1201">
        <v>0</v>
      </c>
      <c r="I297" s="1201">
        <v>0</v>
      </c>
      <c r="J297" s="1201">
        <v>0</v>
      </c>
      <c r="K297" s="1201">
        <v>0</v>
      </c>
      <c r="L297" s="1202">
        <v>0</v>
      </c>
      <c r="M297" s="1202">
        <v>0</v>
      </c>
      <c r="N297" s="1202">
        <v>0</v>
      </c>
      <c r="O297" s="1202">
        <v>0</v>
      </c>
      <c r="P297" s="1202">
        <v>0</v>
      </c>
      <c r="Q297" s="1202">
        <v>0</v>
      </c>
      <c r="R297" s="1202">
        <v>0</v>
      </c>
      <c r="S297" s="1202">
        <v>0</v>
      </c>
      <c r="T297" s="1202">
        <v>0</v>
      </c>
      <c r="U297" s="1202">
        <v>0</v>
      </c>
      <c r="V297" s="1202">
        <v>0</v>
      </c>
      <c r="W297" s="1202">
        <v>0</v>
      </c>
      <c r="X297" s="1202">
        <v>0</v>
      </c>
      <c r="Y297" s="1202">
        <v>0</v>
      </c>
      <c r="Z297" s="1202">
        <v>0</v>
      </c>
      <c r="AA297" s="1202">
        <v>0</v>
      </c>
      <c r="AB297" s="1202">
        <v>0</v>
      </c>
      <c r="AC297" s="1202">
        <v>0</v>
      </c>
      <c r="AD297" s="1202">
        <v>0</v>
      </c>
      <c r="AE297" s="1202">
        <v>0</v>
      </c>
      <c r="AF297" s="1202">
        <v>0</v>
      </c>
      <c r="AG297" s="1202">
        <v>0</v>
      </c>
      <c r="AH297" s="1202">
        <v>0</v>
      </c>
      <c r="AI297" s="1202">
        <v>0</v>
      </c>
      <c r="AJ297" s="1202">
        <v>0</v>
      </c>
      <c r="AK297" s="1202">
        <v>0</v>
      </c>
      <c r="AL297" s="1202">
        <v>0</v>
      </c>
      <c r="AM297" s="1202">
        <v>0</v>
      </c>
      <c r="AN297" s="1202">
        <v>0</v>
      </c>
      <c r="AO297" s="1202">
        <v>0</v>
      </c>
      <c r="AP297" s="1202">
        <v>0</v>
      </c>
      <c r="AQ297" s="1202">
        <v>0</v>
      </c>
      <c r="AR297" s="1202">
        <v>0</v>
      </c>
      <c r="AS297" s="1202">
        <v>0</v>
      </c>
      <c r="AT297" s="1202">
        <v>0</v>
      </c>
      <c r="AU297" s="1202">
        <v>0</v>
      </c>
      <c r="AV297" s="1202">
        <v>0</v>
      </c>
      <c r="AW297" s="1202">
        <v>0</v>
      </c>
      <c r="AX297" s="1202">
        <v>0</v>
      </c>
      <c r="AY297" s="1202">
        <v>0</v>
      </c>
      <c r="AZ297" s="1202">
        <v>0</v>
      </c>
      <c r="BA297" s="1202">
        <v>0</v>
      </c>
      <c r="BB297" s="1202">
        <v>0</v>
      </c>
      <c r="BC297" s="1202">
        <v>0</v>
      </c>
      <c r="BD297" s="1202">
        <v>0</v>
      </c>
      <c r="BE297" s="1202">
        <v>0</v>
      </c>
      <c r="BF297" s="1202">
        <v>0</v>
      </c>
      <c r="BG297" s="1202">
        <v>0</v>
      </c>
      <c r="BH297" s="1202">
        <v>0</v>
      </c>
      <c r="BI297" s="1202">
        <v>0</v>
      </c>
      <c r="BJ297" s="1202">
        <v>0</v>
      </c>
      <c r="BK297" s="1202">
        <v>0</v>
      </c>
      <c r="BL297" s="1202">
        <v>0</v>
      </c>
      <c r="BM297" s="1202">
        <v>0</v>
      </c>
      <c r="BN297" s="1202">
        <v>0</v>
      </c>
      <c r="BO297" s="1202">
        <v>0</v>
      </c>
      <c r="BP297" s="1202">
        <v>0</v>
      </c>
      <c r="BQ297" s="1202">
        <v>0</v>
      </c>
      <c r="BR297" s="1202">
        <v>0</v>
      </c>
      <c r="BS297" s="1202">
        <v>0</v>
      </c>
      <c r="BT297" s="1202">
        <v>0</v>
      </c>
      <c r="BU297" s="1202">
        <v>0</v>
      </c>
      <c r="BV297" s="1202">
        <v>0</v>
      </c>
      <c r="BW297" s="1202">
        <v>0</v>
      </c>
      <c r="BX297" s="1202">
        <v>0</v>
      </c>
      <c r="BY297" s="1202">
        <v>0</v>
      </c>
      <c r="BZ297" s="1202">
        <v>0</v>
      </c>
      <c r="CA297" s="1202">
        <v>0</v>
      </c>
      <c r="CB297" s="1202">
        <v>0</v>
      </c>
    </row>
    <row r="298" spans="1:80" s="1156" customFormat="1" ht="28.8" x14ac:dyDescent="0.3">
      <c r="A298" s="1152">
        <v>639</v>
      </c>
      <c r="B298" s="1152">
        <v>639</v>
      </c>
      <c r="C298" s="1205" t="s">
        <v>748</v>
      </c>
      <c r="D298" s="1154"/>
      <c r="E298" s="1200">
        <v>0</v>
      </c>
      <c r="F298" s="1201">
        <v>0</v>
      </c>
      <c r="G298" s="1201">
        <v>0</v>
      </c>
      <c r="H298" s="1201">
        <v>0</v>
      </c>
      <c r="I298" s="1201">
        <v>0</v>
      </c>
      <c r="J298" s="1201">
        <v>0</v>
      </c>
      <c r="K298" s="1201">
        <v>0</v>
      </c>
      <c r="L298" s="1202">
        <v>0</v>
      </c>
      <c r="M298" s="1202">
        <v>0</v>
      </c>
      <c r="N298" s="1202">
        <v>0</v>
      </c>
      <c r="O298" s="1202">
        <v>0</v>
      </c>
      <c r="P298" s="1202">
        <v>0</v>
      </c>
      <c r="Q298" s="1202">
        <v>0</v>
      </c>
      <c r="R298" s="1202">
        <v>0</v>
      </c>
      <c r="S298" s="1202">
        <v>0</v>
      </c>
      <c r="T298" s="1202">
        <v>1114687</v>
      </c>
      <c r="U298" s="1202">
        <v>0</v>
      </c>
      <c r="V298" s="1202">
        <v>2571466</v>
      </c>
      <c r="W298" s="1202">
        <v>0</v>
      </c>
      <c r="X298" s="1202">
        <v>0</v>
      </c>
      <c r="Y298" s="1202">
        <v>0</v>
      </c>
      <c r="Z298" s="1202">
        <v>0</v>
      </c>
      <c r="AA298" s="1202">
        <v>460826</v>
      </c>
      <c r="AB298" s="1202">
        <v>339276</v>
      </c>
      <c r="AC298" s="1202">
        <v>0</v>
      </c>
      <c r="AD298" s="1202">
        <v>0</v>
      </c>
      <c r="AE298" s="1202">
        <v>0</v>
      </c>
      <c r="AF298" s="1202">
        <v>484390</v>
      </c>
      <c r="AG298" s="1202">
        <v>0</v>
      </c>
      <c r="AH298" s="1202">
        <v>0</v>
      </c>
      <c r="AI298" s="1202">
        <v>0</v>
      </c>
      <c r="AJ298" s="1202">
        <v>0</v>
      </c>
      <c r="AK298" s="1202">
        <v>1909724</v>
      </c>
      <c r="AL298" s="1202">
        <v>0</v>
      </c>
      <c r="AM298" s="1202">
        <v>0</v>
      </c>
      <c r="AN298" s="1202">
        <v>0</v>
      </c>
      <c r="AO298" s="1202">
        <v>0</v>
      </c>
      <c r="AP298" s="1202">
        <v>0</v>
      </c>
      <c r="AQ298" s="1202">
        <v>0</v>
      </c>
      <c r="AR298" s="1202">
        <v>4944285</v>
      </c>
      <c r="AS298" s="1202">
        <v>0</v>
      </c>
      <c r="AT298" s="1202">
        <v>0</v>
      </c>
      <c r="AU298" s="1202">
        <v>0</v>
      </c>
      <c r="AV298" s="1202">
        <v>911516</v>
      </c>
      <c r="AW298" s="1202">
        <v>0</v>
      </c>
      <c r="AX298" s="1202">
        <v>0</v>
      </c>
      <c r="AY298" s="1202">
        <v>0</v>
      </c>
      <c r="AZ298" s="1202">
        <v>0</v>
      </c>
      <c r="BA298" s="1202">
        <v>549719</v>
      </c>
      <c r="BB298" s="1202">
        <v>0</v>
      </c>
      <c r="BC298" s="1202">
        <v>0</v>
      </c>
      <c r="BD298" s="1202">
        <v>0</v>
      </c>
      <c r="BE298" s="1202">
        <v>0</v>
      </c>
      <c r="BF298" s="1202">
        <v>3350688</v>
      </c>
      <c r="BG298" s="1202">
        <v>0</v>
      </c>
      <c r="BH298" s="1202">
        <v>0</v>
      </c>
      <c r="BI298" s="1202">
        <v>0</v>
      </c>
      <c r="BJ298" s="1202">
        <v>0</v>
      </c>
      <c r="BK298" s="1202">
        <v>0</v>
      </c>
      <c r="BL298" s="1202">
        <v>192475</v>
      </c>
      <c r="BM298" s="1202">
        <v>0</v>
      </c>
      <c r="BN298" s="1202">
        <v>0</v>
      </c>
      <c r="BO298" s="1202">
        <v>0</v>
      </c>
      <c r="BP298" s="1202">
        <v>0</v>
      </c>
      <c r="BQ298" s="1202">
        <v>0</v>
      </c>
      <c r="BR298" s="1202">
        <v>0</v>
      </c>
      <c r="BS298" s="1202">
        <v>0</v>
      </c>
      <c r="BT298" s="1202">
        <v>0</v>
      </c>
      <c r="BU298" s="1202">
        <v>0</v>
      </c>
      <c r="BV298" s="1202">
        <v>0</v>
      </c>
      <c r="BW298" s="1202">
        <v>0</v>
      </c>
      <c r="BX298" s="1202">
        <v>0</v>
      </c>
      <c r="BY298" s="1202">
        <v>0</v>
      </c>
      <c r="BZ298" s="1202">
        <v>0</v>
      </c>
      <c r="CA298" s="1202">
        <v>0</v>
      </c>
      <c r="CB298" s="1202">
        <v>0</v>
      </c>
    </row>
    <row r="299" spans="1:80" s="1156" customFormat="1" x14ac:dyDescent="0.3">
      <c r="A299" s="1152">
        <v>640</v>
      </c>
      <c r="B299" s="1152">
        <v>640</v>
      </c>
      <c r="C299" s="1205" t="s">
        <v>749</v>
      </c>
      <c r="D299" s="1154"/>
      <c r="E299" s="1200">
        <v>0</v>
      </c>
      <c r="F299" s="1201">
        <v>0</v>
      </c>
      <c r="G299" s="1201">
        <v>0</v>
      </c>
      <c r="H299" s="1201">
        <v>0</v>
      </c>
      <c r="I299" s="1201">
        <v>0</v>
      </c>
      <c r="J299" s="1201">
        <v>0</v>
      </c>
      <c r="K299" s="1201">
        <v>0</v>
      </c>
      <c r="L299" s="1202">
        <v>0</v>
      </c>
      <c r="M299" s="1202">
        <v>0</v>
      </c>
      <c r="N299" s="1202">
        <v>0</v>
      </c>
      <c r="O299" s="1202">
        <v>0</v>
      </c>
      <c r="P299" s="1202">
        <v>0</v>
      </c>
      <c r="Q299" s="1202">
        <v>0</v>
      </c>
      <c r="R299" s="1202">
        <v>0</v>
      </c>
      <c r="S299" s="1202">
        <v>0</v>
      </c>
      <c r="T299" s="1202">
        <v>0</v>
      </c>
      <c r="U299" s="1202">
        <v>0</v>
      </c>
      <c r="V299" s="1202">
        <v>672040</v>
      </c>
      <c r="W299" s="1202">
        <v>0</v>
      </c>
      <c r="X299" s="1202">
        <v>0</v>
      </c>
      <c r="Y299" s="1202">
        <v>0</v>
      </c>
      <c r="Z299" s="1202">
        <v>0</v>
      </c>
      <c r="AA299" s="1202">
        <v>0</v>
      </c>
      <c r="AB299" s="1202">
        <v>0</v>
      </c>
      <c r="AC299" s="1202">
        <v>0</v>
      </c>
      <c r="AD299" s="1202">
        <v>0</v>
      </c>
      <c r="AE299" s="1202">
        <v>0</v>
      </c>
      <c r="AF299" s="1202">
        <v>0</v>
      </c>
      <c r="AG299" s="1202">
        <v>0</v>
      </c>
      <c r="AH299" s="1202">
        <v>0</v>
      </c>
      <c r="AI299" s="1202">
        <v>0</v>
      </c>
      <c r="AJ299" s="1202">
        <v>0</v>
      </c>
      <c r="AK299" s="1202">
        <v>0</v>
      </c>
      <c r="AL299" s="1202">
        <v>0</v>
      </c>
      <c r="AM299" s="1202">
        <v>0</v>
      </c>
      <c r="AN299" s="1202">
        <v>0</v>
      </c>
      <c r="AO299" s="1202">
        <v>0</v>
      </c>
      <c r="AP299" s="1202">
        <v>0</v>
      </c>
      <c r="AQ299" s="1202">
        <v>0</v>
      </c>
      <c r="AR299" s="1202">
        <v>0</v>
      </c>
      <c r="AS299" s="1202">
        <v>0</v>
      </c>
      <c r="AT299" s="1202">
        <v>0</v>
      </c>
      <c r="AU299" s="1202">
        <v>0</v>
      </c>
      <c r="AV299" s="1202">
        <v>0</v>
      </c>
      <c r="AW299" s="1202">
        <v>0</v>
      </c>
      <c r="AX299" s="1202">
        <v>0</v>
      </c>
      <c r="AY299" s="1202">
        <v>0</v>
      </c>
      <c r="AZ299" s="1202">
        <v>0</v>
      </c>
      <c r="BA299" s="1202">
        <v>0</v>
      </c>
      <c r="BB299" s="1202">
        <v>0</v>
      </c>
      <c r="BC299" s="1202">
        <v>0</v>
      </c>
      <c r="BD299" s="1202">
        <v>0</v>
      </c>
      <c r="BE299" s="1202">
        <v>0</v>
      </c>
      <c r="BF299" s="1202">
        <v>0</v>
      </c>
      <c r="BG299" s="1202">
        <v>0</v>
      </c>
      <c r="BH299" s="1202">
        <v>0</v>
      </c>
      <c r="BI299" s="1202">
        <v>0</v>
      </c>
      <c r="BJ299" s="1202">
        <v>0</v>
      </c>
      <c r="BK299" s="1202">
        <v>0</v>
      </c>
      <c r="BL299" s="1202">
        <v>0</v>
      </c>
      <c r="BM299" s="1202">
        <v>0</v>
      </c>
      <c r="BN299" s="1202">
        <v>0</v>
      </c>
      <c r="BO299" s="1202">
        <v>0</v>
      </c>
      <c r="BP299" s="1202">
        <v>0</v>
      </c>
      <c r="BQ299" s="1202">
        <v>0</v>
      </c>
      <c r="BR299" s="1202">
        <v>0</v>
      </c>
      <c r="BS299" s="1202">
        <v>0</v>
      </c>
      <c r="BT299" s="1202">
        <v>0</v>
      </c>
      <c r="BU299" s="1202">
        <v>0</v>
      </c>
      <c r="BV299" s="1202">
        <v>0</v>
      </c>
      <c r="BW299" s="1202">
        <v>0</v>
      </c>
      <c r="BX299" s="1202">
        <v>0</v>
      </c>
      <c r="BY299" s="1202">
        <v>0</v>
      </c>
      <c r="BZ299" s="1202">
        <v>0</v>
      </c>
      <c r="CA299" s="1202">
        <v>0</v>
      </c>
      <c r="CB299" s="1202">
        <v>0</v>
      </c>
    </row>
    <row r="300" spans="1:80" s="1156" customFormat="1" x14ac:dyDescent="0.3">
      <c r="A300" s="1152">
        <v>641</v>
      </c>
      <c r="B300" s="1152">
        <v>641</v>
      </c>
      <c r="C300" s="1205" t="s">
        <v>750</v>
      </c>
      <c r="D300" s="1154"/>
      <c r="E300" s="1200">
        <v>0</v>
      </c>
      <c r="F300" s="1201">
        <v>0</v>
      </c>
      <c r="G300" s="1201">
        <v>0</v>
      </c>
      <c r="H300" s="1201">
        <v>0</v>
      </c>
      <c r="I300" s="1201">
        <v>0</v>
      </c>
      <c r="J300" s="1201">
        <v>0</v>
      </c>
      <c r="K300" s="1201">
        <v>0</v>
      </c>
      <c r="L300" s="1202">
        <v>0</v>
      </c>
      <c r="M300" s="1202">
        <v>0</v>
      </c>
      <c r="N300" s="1202">
        <v>0</v>
      </c>
      <c r="O300" s="1202">
        <v>0</v>
      </c>
      <c r="P300" s="1202">
        <v>0</v>
      </c>
      <c r="Q300" s="1202">
        <v>0</v>
      </c>
      <c r="R300" s="1202">
        <v>0</v>
      </c>
      <c r="S300" s="1202">
        <v>0</v>
      </c>
      <c r="T300" s="1202">
        <v>32146</v>
      </c>
      <c r="U300" s="1202">
        <v>0</v>
      </c>
      <c r="V300" s="1202">
        <v>22424</v>
      </c>
      <c r="W300" s="1202">
        <v>0</v>
      </c>
      <c r="X300" s="1202">
        <v>0</v>
      </c>
      <c r="Y300" s="1202">
        <v>0</v>
      </c>
      <c r="Z300" s="1202">
        <v>0</v>
      </c>
      <c r="AA300" s="1202">
        <v>0</v>
      </c>
      <c r="AB300" s="1202">
        <v>1401</v>
      </c>
      <c r="AC300" s="1202">
        <v>0</v>
      </c>
      <c r="AD300" s="1202">
        <v>0</v>
      </c>
      <c r="AE300" s="1202">
        <v>0</v>
      </c>
      <c r="AF300" s="1202">
        <v>0</v>
      </c>
      <c r="AG300" s="1202">
        <v>0</v>
      </c>
      <c r="AH300" s="1202">
        <v>0</v>
      </c>
      <c r="AI300" s="1202">
        <v>0</v>
      </c>
      <c r="AJ300" s="1202">
        <v>0</v>
      </c>
      <c r="AK300" s="1202">
        <v>16868</v>
      </c>
      <c r="AL300" s="1202">
        <v>0</v>
      </c>
      <c r="AM300" s="1202">
        <v>0</v>
      </c>
      <c r="AN300" s="1202">
        <v>0</v>
      </c>
      <c r="AO300" s="1202">
        <v>0</v>
      </c>
      <c r="AP300" s="1202">
        <v>0</v>
      </c>
      <c r="AQ300" s="1202">
        <v>0</v>
      </c>
      <c r="AR300" s="1202">
        <v>0</v>
      </c>
      <c r="AS300" s="1202">
        <v>0</v>
      </c>
      <c r="AT300" s="1202">
        <v>0</v>
      </c>
      <c r="AU300" s="1202">
        <v>0</v>
      </c>
      <c r="AV300" s="1202">
        <v>15034</v>
      </c>
      <c r="AW300" s="1202">
        <v>0</v>
      </c>
      <c r="AX300" s="1202">
        <v>0</v>
      </c>
      <c r="AY300" s="1202">
        <v>0</v>
      </c>
      <c r="AZ300" s="1202">
        <v>0</v>
      </c>
      <c r="BA300" s="1202">
        <v>0</v>
      </c>
      <c r="BB300" s="1202">
        <v>0</v>
      </c>
      <c r="BC300" s="1202">
        <v>0</v>
      </c>
      <c r="BD300" s="1202">
        <v>0</v>
      </c>
      <c r="BE300" s="1202">
        <v>0</v>
      </c>
      <c r="BF300" s="1202">
        <v>0</v>
      </c>
      <c r="BG300" s="1202">
        <v>0</v>
      </c>
      <c r="BH300" s="1202">
        <v>0</v>
      </c>
      <c r="BI300" s="1202">
        <v>0</v>
      </c>
      <c r="BJ300" s="1202">
        <v>0</v>
      </c>
      <c r="BK300" s="1202">
        <v>0</v>
      </c>
      <c r="BL300" s="1202">
        <v>5319</v>
      </c>
      <c r="BM300" s="1202">
        <v>0</v>
      </c>
      <c r="BN300" s="1202">
        <v>0</v>
      </c>
      <c r="BO300" s="1202">
        <v>0</v>
      </c>
      <c r="BP300" s="1202">
        <v>0</v>
      </c>
      <c r="BQ300" s="1202">
        <v>0</v>
      </c>
      <c r="BR300" s="1202">
        <v>0</v>
      </c>
      <c r="BS300" s="1202">
        <v>0</v>
      </c>
      <c r="BT300" s="1202">
        <v>0</v>
      </c>
      <c r="BU300" s="1202">
        <v>0</v>
      </c>
      <c r="BV300" s="1202">
        <v>0</v>
      </c>
      <c r="BW300" s="1202">
        <v>0</v>
      </c>
      <c r="BX300" s="1202">
        <v>0</v>
      </c>
      <c r="BY300" s="1202">
        <v>0</v>
      </c>
      <c r="BZ300" s="1202">
        <v>0</v>
      </c>
      <c r="CA300" s="1202">
        <v>0</v>
      </c>
      <c r="CB300" s="1202">
        <v>0</v>
      </c>
    </row>
    <row r="301" spans="1:80" s="1156" customFormat="1" x14ac:dyDescent="0.3">
      <c r="A301" s="1152">
        <v>642</v>
      </c>
      <c r="B301" s="1152">
        <v>642</v>
      </c>
      <c r="C301" s="1205" t="s">
        <v>751</v>
      </c>
      <c r="D301" s="1154"/>
      <c r="E301" s="1200">
        <v>0</v>
      </c>
      <c r="F301" s="1201">
        <v>0</v>
      </c>
      <c r="G301" s="1201">
        <v>0</v>
      </c>
      <c r="H301" s="1201">
        <v>0</v>
      </c>
      <c r="I301" s="1201">
        <v>0</v>
      </c>
      <c r="J301" s="1201">
        <v>0</v>
      </c>
      <c r="K301" s="1201">
        <v>0</v>
      </c>
      <c r="L301" s="1202">
        <v>0</v>
      </c>
      <c r="M301" s="1202">
        <v>0</v>
      </c>
      <c r="N301" s="1202">
        <v>0</v>
      </c>
      <c r="O301" s="1202">
        <v>0</v>
      </c>
      <c r="P301" s="1202">
        <v>0</v>
      </c>
      <c r="Q301" s="1202">
        <v>0</v>
      </c>
      <c r="R301" s="1202">
        <v>0</v>
      </c>
      <c r="S301" s="1202">
        <v>0</v>
      </c>
      <c r="T301" s="1202">
        <v>0</v>
      </c>
      <c r="U301" s="1202">
        <v>0</v>
      </c>
      <c r="V301" s="1202">
        <v>0</v>
      </c>
      <c r="W301" s="1202">
        <v>0</v>
      </c>
      <c r="X301" s="1202">
        <v>0</v>
      </c>
      <c r="Y301" s="1202">
        <v>0</v>
      </c>
      <c r="Z301" s="1202">
        <v>0</v>
      </c>
      <c r="AA301" s="1202">
        <v>0</v>
      </c>
      <c r="AB301" s="1202">
        <v>0</v>
      </c>
      <c r="AC301" s="1202">
        <v>0</v>
      </c>
      <c r="AD301" s="1202">
        <v>0</v>
      </c>
      <c r="AE301" s="1202">
        <v>0</v>
      </c>
      <c r="AF301" s="1202">
        <v>0</v>
      </c>
      <c r="AG301" s="1202">
        <v>0</v>
      </c>
      <c r="AH301" s="1202">
        <v>0</v>
      </c>
      <c r="AI301" s="1202">
        <v>0</v>
      </c>
      <c r="AJ301" s="1202">
        <v>0</v>
      </c>
      <c r="AK301" s="1202">
        <v>0</v>
      </c>
      <c r="AL301" s="1202">
        <v>0</v>
      </c>
      <c r="AM301" s="1202">
        <v>0</v>
      </c>
      <c r="AN301" s="1202">
        <v>0</v>
      </c>
      <c r="AO301" s="1202">
        <v>0</v>
      </c>
      <c r="AP301" s="1202">
        <v>0</v>
      </c>
      <c r="AQ301" s="1202">
        <v>0</v>
      </c>
      <c r="AR301" s="1202">
        <v>0</v>
      </c>
      <c r="AS301" s="1202">
        <v>0</v>
      </c>
      <c r="AT301" s="1202">
        <v>0</v>
      </c>
      <c r="AU301" s="1202">
        <v>0</v>
      </c>
      <c r="AV301" s="1202">
        <v>0</v>
      </c>
      <c r="AW301" s="1202">
        <v>0</v>
      </c>
      <c r="AX301" s="1202">
        <v>0</v>
      </c>
      <c r="AY301" s="1202">
        <v>0</v>
      </c>
      <c r="AZ301" s="1202">
        <v>0</v>
      </c>
      <c r="BA301" s="1202">
        <v>0</v>
      </c>
      <c r="BB301" s="1202">
        <v>0</v>
      </c>
      <c r="BC301" s="1202">
        <v>0</v>
      </c>
      <c r="BD301" s="1202">
        <v>0</v>
      </c>
      <c r="BE301" s="1202">
        <v>0</v>
      </c>
      <c r="BF301" s="1202">
        <v>0</v>
      </c>
      <c r="BG301" s="1202">
        <v>0</v>
      </c>
      <c r="BH301" s="1202">
        <v>0</v>
      </c>
      <c r="BI301" s="1202">
        <v>0</v>
      </c>
      <c r="BJ301" s="1202">
        <v>0</v>
      </c>
      <c r="BK301" s="1202">
        <v>0</v>
      </c>
      <c r="BL301" s="1202">
        <v>0</v>
      </c>
      <c r="BM301" s="1202">
        <v>0</v>
      </c>
      <c r="BN301" s="1202">
        <v>0</v>
      </c>
      <c r="BO301" s="1202">
        <v>0</v>
      </c>
      <c r="BP301" s="1202">
        <v>0</v>
      </c>
      <c r="BQ301" s="1202">
        <v>0</v>
      </c>
      <c r="BR301" s="1202">
        <v>0</v>
      </c>
      <c r="BS301" s="1202">
        <v>0</v>
      </c>
      <c r="BT301" s="1202">
        <v>0</v>
      </c>
      <c r="BU301" s="1202">
        <v>0</v>
      </c>
      <c r="BV301" s="1202">
        <v>0</v>
      </c>
      <c r="BW301" s="1202">
        <v>0</v>
      </c>
      <c r="BX301" s="1202">
        <v>0</v>
      </c>
      <c r="BY301" s="1202">
        <v>0</v>
      </c>
      <c r="BZ301" s="1202">
        <v>0</v>
      </c>
      <c r="CA301" s="1202">
        <v>0</v>
      </c>
      <c r="CB301" s="1202">
        <v>0</v>
      </c>
    </row>
    <row r="302" spans="1:80" s="1156" customFormat="1" ht="28.8" x14ac:dyDescent="0.3">
      <c r="A302" s="1152">
        <v>643</v>
      </c>
      <c r="B302" s="1152">
        <v>643</v>
      </c>
      <c r="C302" s="1205" t="s">
        <v>752</v>
      </c>
      <c r="D302" s="1154"/>
      <c r="E302" s="1200">
        <v>0</v>
      </c>
      <c r="F302" s="1201">
        <v>0</v>
      </c>
      <c r="G302" s="1201">
        <v>0</v>
      </c>
      <c r="H302" s="1201">
        <v>0</v>
      </c>
      <c r="I302" s="1201">
        <v>0</v>
      </c>
      <c r="J302" s="1201">
        <v>0</v>
      </c>
      <c r="K302" s="1201">
        <v>0</v>
      </c>
      <c r="L302" s="1202">
        <v>0</v>
      </c>
      <c r="M302" s="1202">
        <v>0</v>
      </c>
      <c r="N302" s="1202">
        <v>0</v>
      </c>
      <c r="O302" s="1202">
        <v>0</v>
      </c>
      <c r="P302" s="1202">
        <v>0</v>
      </c>
      <c r="Q302" s="1202">
        <v>0</v>
      </c>
      <c r="R302" s="1202">
        <v>0</v>
      </c>
      <c r="S302" s="1202">
        <v>0</v>
      </c>
      <c r="T302" s="1202">
        <v>162477</v>
      </c>
      <c r="U302" s="1202">
        <v>0</v>
      </c>
      <c r="V302" s="1202">
        <v>0</v>
      </c>
      <c r="W302" s="1202">
        <v>0</v>
      </c>
      <c r="X302" s="1202">
        <v>0</v>
      </c>
      <c r="Y302" s="1202">
        <v>0</v>
      </c>
      <c r="Z302" s="1202">
        <v>0</v>
      </c>
      <c r="AA302" s="1202">
        <v>0</v>
      </c>
      <c r="AB302" s="1202">
        <v>0</v>
      </c>
      <c r="AC302" s="1202">
        <v>0</v>
      </c>
      <c r="AD302" s="1202">
        <v>0</v>
      </c>
      <c r="AE302" s="1202">
        <v>0</v>
      </c>
      <c r="AF302" s="1202">
        <v>0</v>
      </c>
      <c r="AG302" s="1202">
        <v>0</v>
      </c>
      <c r="AH302" s="1202">
        <v>0</v>
      </c>
      <c r="AI302" s="1202">
        <v>0</v>
      </c>
      <c r="AJ302" s="1202">
        <v>0</v>
      </c>
      <c r="AK302" s="1202">
        <v>0</v>
      </c>
      <c r="AL302" s="1202">
        <v>0</v>
      </c>
      <c r="AM302" s="1202">
        <v>0</v>
      </c>
      <c r="AN302" s="1202">
        <v>0</v>
      </c>
      <c r="AO302" s="1202">
        <v>0</v>
      </c>
      <c r="AP302" s="1202">
        <v>0</v>
      </c>
      <c r="AQ302" s="1202">
        <v>0</v>
      </c>
      <c r="AR302" s="1202">
        <v>639462</v>
      </c>
      <c r="AS302" s="1202">
        <v>0</v>
      </c>
      <c r="AT302" s="1202">
        <v>0</v>
      </c>
      <c r="AU302" s="1202">
        <v>0</v>
      </c>
      <c r="AV302" s="1202">
        <v>286424</v>
      </c>
      <c r="AW302" s="1202">
        <v>0</v>
      </c>
      <c r="AX302" s="1202">
        <v>0</v>
      </c>
      <c r="AY302" s="1202">
        <v>0</v>
      </c>
      <c r="AZ302" s="1202">
        <v>0</v>
      </c>
      <c r="BA302" s="1202">
        <v>0</v>
      </c>
      <c r="BB302" s="1202">
        <v>0</v>
      </c>
      <c r="BC302" s="1202">
        <v>0</v>
      </c>
      <c r="BD302" s="1202">
        <v>0</v>
      </c>
      <c r="BE302" s="1202">
        <v>0</v>
      </c>
      <c r="BF302" s="1202">
        <v>1300338</v>
      </c>
      <c r="BG302" s="1202">
        <v>0</v>
      </c>
      <c r="BH302" s="1202">
        <v>0</v>
      </c>
      <c r="BI302" s="1202">
        <v>0</v>
      </c>
      <c r="BJ302" s="1202">
        <v>0</v>
      </c>
      <c r="BK302" s="1202">
        <v>0</v>
      </c>
      <c r="BL302" s="1202">
        <v>126513</v>
      </c>
      <c r="BM302" s="1202">
        <v>0</v>
      </c>
      <c r="BN302" s="1202">
        <v>0</v>
      </c>
      <c r="BO302" s="1202">
        <v>0</v>
      </c>
      <c r="BP302" s="1202">
        <v>0</v>
      </c>
      <c r="BQ302" s="1202">
        <v>0</v>
      </c>
      <c r="BR302" s="1202">
        <v>0</v>
      </c>
      <c r="BS302" s="1202">
        <v>0</v>
      </c>
      <c r="BT302" s="1202">
        <v>0</v>
      </c>
      <c r="BU302" s="1202">
        <v>0</v>
      </c>
      <c r="BV302" s="1202">
        <v>0</v>
      </c>
      <c r="BW302" s="1202">
        <v>0</v>
      </c>
      <c r="BX302" s="1202">
        <v>0</v>
      </c>
      <c r="BY302" s="1202">
        <v>0</v>
      </c>
      <c r="BZ302" s="1202">
        <v>0</v>
      </c>
      <c r="CA302" s="1202">
        <v>0</v>
      </c>
      <c r="CB302" s="1202">
        <v>0</v>
      </c>
    </row>
    <row r="303" spans="1:80" s="1156" customFormat="1" x14ac:dyDescent="0.3">
      <c r="A303" s="1152">
        <v>644</v>
      </c>
      <c r="B303" s="1152">
        <v>644</v>
      </c>
      <c r="C303" s="1205" t="s">
        <v>753</v>
      </c>
      <c r="D303" s="1154"/>
      <c r="E303" s="1200">
        <v>0</v>
      </c>
      <c r="F303" s="1201">
        <v>0</v>
      </c>
      <c r="G303" s="1201">
        <v>0</v>
      </c>
      <c r="H303" s="1201">
        <v>0</v>
      </c>
      <c r="I303" s="1201">
        <v>0</v>
      </c>
      <c r="J303" s="1201">
        <v>0</v>
      </c>
      <c r="K303" s="1201">
        <v>0</v>
      </c>
      <c r="L303" s="1202">
        <v>0</v>
      </c>
      <c r="M303" s="1202">
        <v>0</v>
      </c>
      <c r="N303" s="1202">
        <v>0</v>
      </c>
      <c r="O303" s="1202">
        <v>0</v>
      </c>
      <c r="P303" s="1202">
        <v>0</v>
      </c>
      <c r="Q303" s="1202">
        <v>0</v>
      </c>
      <c r="R303" s="1202">
        <v>0</v>
      </c>
      <c r="S303" s="1202">
        <v>0</v>
      </c>
      <c r="T303" s="1202">
        <v>0</v>
      </c>
      <c r="U303" s="1202">
        <v>0</v>
      </c>
      <c r="V303" s="1202">
        <v>0</v>
      </c>
      <c r="W303" s="1202">
        <v>0</v>
      </c>
      <c r="X303" s="1202">
        <v>0</v>
      </c>
      <c r="Y303" s="1202">
        <v>0</v>
      </c>
      <c r="Z303" s="1202">
        <v>0</v>
      </c>
      <c r="AA303" s="1202">
        <v>0</v>
      </c>
      <c r="AB303" s="1202">
        <v>0</v>
      </c>
      <c r="AC303" s="1202">
        <v>0</v>
      </c>
      <c r="AD303" s="1202">
        <v>0</v>
      </c>
      <c r="AE303" s="1202">
        <v>0</v>
      </c>
      <c r="AF303" s="1202">
        <v>0</v>
      </c>
      <c r="AG303" s="1202">
        <v>0</v>
      </c>
      <c r="AH303" s="1202">
        <v>0</v>
      </c>
      <c r="AI303" s="1202">
        <v>0</v>
      </c>
      <c r="AJ303" s="1202">
        <v>0</v>
      </c>
      <c r="AK303" s="1202">
        <v>0</v>
      </c>
      <c r="AL303" s="1202">
        <v>0</v>
      </c>
      <c r="AM303" s="1202">
        <v>0</v>
      </c>
      <c r="AN303" s="1202">
        <v>0</v>
      </c>
      <c r="AO303" s="1202">
        <v>0</v>
      </c>
      <c r="AP303" s="1202">
        <v>0</v>
      </c>
      <c r="AQ303" s="1202">
        <v>0</v>
      </c>
      <c r="AR303" s="1202">
        <v>0</v>
      </c>
      <c r="AS303" s="1202">
        <v>0</v>
      </c>
      <c r="AT303" s="1202">
        <v>0</v>
      </c>
      <c r="AU303" s="1202">
        <v>0</v>
      </c>
      <c r="AV303" s="1202">
        <v>0</v>
      </c>
      <c r="AW303" s="1202">
        <v>0</v>
      </c>
      <c r="AX303" s="1202">
        <v>0</v>
      </c>
      <c r="AY303" s="1202">
        <v>0</v>
      </c>
      <c r="AZ303" s="1202">
        <v>0</v>
      </c>
      <c r="BA303" s="1202">
        <v>0</v>
      </c>
      <c r="BB303" s="1202">
        <v>0</v>
      </c>
      <c r="BC303" s="1202">
        <v>0</v>
      </c>
      <c r="BD303" s="1202">
        <v>0</v>
      </c>
      <c r="BE303" s="1202">
        <v>0</v>
      </c>
      <c r="BF303" s="1202">
        <v>0</v>
      </c>
      <c r="BG303" s="1202">
        <v>0</v>
      </c>
      <c r="BH303" s="1202">
        <v>0</v>
      </c>
      <c r="BI303" s="1202">
        <v>0</v>
      </c>
      <c r="BJ303" s="1202">
        <v>0</v>
      </c>
      <c r="BK303" s="1202">
        <v>0</v>
      </c>
      <c r="BL303" s="1202">
        <v>0</v>
      </c>
      <c r="BM303" s="1202">
        <v>0</v>
      </c>
      <c r="BN303" s="1202">
        <v>0</v>
      </c>
      <c r="BO303" s="1202">
        <v>0</v>
      </c>
      <c r="BP303" s="1202">
        <v>0</v>
      </c>
      <c r="BQ303" s="1202">
        <v>0</v>
      </c>
      <c r="BR303" s="1202">
        <v>0</v>
      </c>
      <c r="BS303" s="1202">
        <v>0</v>
      </c>
      <c r="BT303" s="1202">
        <v>0</v>
      </c>
      <c r="BU303" s="1202">
        <v>0</v>
      </c>
      <c r="BV303" s="1202">
        <v>0</v>
      </c>
      <c r="BW303" s="1202">
        <v>0</v>
      </c>
      <c r="BX303" s="1202">
        <v>0</v>
      </c>
      <c r="BY303" s="1202">
        <v>0</v>
      </c>
      <c r="BZ303" s="1202">
        <v>0</v>
      </c>
      <c r="CA303" s="1202">
        <v>0</v>
      </c>
      <c r="CB303" s="1202">
        <v>0</v>
      </c>
    </row>
    <row r="304" spans="1:80" s="1156" customFormat="1" x14ac:dyDescent="0.3">
      <c r="A304" s="1152">
        <v>645</v>
      </c>
      <c r="B304" s="1152">
        <v>645</v>
      </c>
      <c r="C304" s="1205" t="s">
        <v>754</v>
      </c>
      <c r="D304" s="1154"/>
      <c r="E304" s="1200">
        <v>6589</v>
      </c>
      <c r="F304" s="1201">
        <v>0</v>
      </c>
      <c r="G304" s="1201">
        <v>0</v>
      </c>
      <c r="H304" s="1201">
        <v>2201186</v>
      </c>
      <c r="I304" s="1201">
        <v>1190299</v>
      </c>
      <c r="J304" s="1201">
        <v>49153</v>
      </c>
      <c r="K304" s="1201">
        <v>661717</v>
      </c>
      <c r="L304" s="1202">
        <v>72196</v>
      </c>
      <c r="M304" s="1202">
        <v>0</v>
      </c>
      <c r="N304" s="1202">
        <v>0</v>
      </c>
      <c r="O304" s="1202">
        <v>0</v>
      </c>
      <c r="P304" s="1202">
        <v>83759</v>
      </c>
      <c r="Q304" s="1202">
        <v>500000</v>
      </c>
      <c r="R304" s="1202">
        <v>3361222</v>
      </c>
      <c r="S304" s="1202">
        <v>162773</v>
      </c>
      <c r="T304" s="1202">
        <v>0</v>
      </c>
      <c r="U304" s="1202">
        <v>0</v>
      </c>
      <c r="V304" s="1202">
        <v>348833</v>
      </c>
      <c r="W304" s="1202">
        <v>10000</v>
      </c>
      <c r="X304" s="1202">
        <v>744424</v>
      </c>
      <c r="Y304" s="1202">
        <v>384546</v>
      </c>
      <c r="Z304" s="1202">
        <v>641420</v>
      </c>
      <c r="AA304" s="1202">
        <v>0</v>
      </c>
      <c r="AB304" s="1202">
        <v>50000</v>
      </c>
      <c r="AC304" s="1202">
        <v>47711</v>
      </c>
      <c r="AD304" s="1202">
        <v>0</v>
      </c>
      <c r="AE304" s="1202">
        <v>82390</v>
      </c>
      <c r="AF304" s="1202">
        <v>0</v>
      </c>
      <c r="AG304" s="1202">
        <v>0</v>
      </c>
      <c r="AH304" s="1202">
        <v>21625</v>
      </c>
      <c r="AI304" s="1202">
        <v>0</v>
      </c>
      <c r="AJ304" s="1202">
        <v>80050</v>
      </c>
      <c r="AK304" s="1202">
        <v>542416</v>
      </c>
      <c r="AL304" s="1202">
        <v>0</v>
      </c>
      <c r="AM304" s="1202">
        <v>0</v>
      </c>
      <c r="AN304" s="1202">
        <v>0</v>
      </c>
      <c r="AO304" s="1202">
        <v>0</v>
      </c>
      <c r="AP304" s="1202">
        <v>0</v>
      </c>
      <c r="AQ304" s="1202">
        <v>230510</v>
      </c>
      <c r="AR304" s="1202">
        <v>1920720</v>
      </c>
      <c r="AS304" s="1202">
        <v>204146</v>
      </c>
      <c r="AT304" s="1202">
        <v>0</v>
      </c>
      <c r="AU304" s="1202">
        <v>0</v>
      </c>
      <c r="AV304" s="1202">
        <v>405000</v>
      </c>
      <c r="AW304" s="1202">
        <v>0</v>
      </c>
      <c r="AX304" s="1202">
        <v>0</v>
      </c>
      <c r="AY304" s="1202">
        <v>281454</v>
      </c>
      <c r="AZ304" s="1202">
        <v>0</v>
      </c>
      <c r="BA304" s="1202">
        <v>341545</v>
      </c>
      <c r="BB304" s="1202">
        <v>0</v>
      </c>
      <c r="BC304" s="1202">
        <v>0</v>
      </c>
      <c r="BD304" s="1202">
        <v>0</v>
      </c>
      <c r="BE304" s="1202">
        <v>41335</v>
      </c>
      <c r="BF304" s="1202">
        <v>2046175</v>
      </c>
      <c r="BG304" s="1202">
        <v>0</v>
      </c>
      <c r="BH304" s="1202">
        <v>0</v>
      </c>
      <c r="BI304" s="1202">
        <v>38000</v>
      </c>
      <c r="BJ304" s="1202">
        <v>72552</v>
      </c>
      <c r="BK304" s="1202">
        <v>0</v>
      </c>
      <c r="BL304" s="1202">
        <v>0</v>
      </c>
      <c r="BM304" s="1202">
        <v>0</v>
      </c>
      <c r="BN304" s="1202">
        <v>0</v>
      </c>
      <c r="BO304" s="1202">
        <v>12534</v>
      </c>
      <c r="BP304" s="1202">
        <v>125000</v>
      </c>
      <c r="BQ304" s="1202">
        <v>510362</v>
      </c>
      <c r="BR304" s="1202">
        <v>297313</v>
      </c>
      <c r="BS304" s="1202">
        <v>796914</v>
      </c>
      <c r="BT304" s="1202">
        <v>1159334</v>
      </c>
      <c r="BU304" s="1202">
        <v>424000</v>
      </c>
      <c r="BV304" s="1202">
        <v>0</v>
      </c>
      <c r="BW304" s="1202">
        <v>0</v>
      </c>
      <c r="BX304" s="1202">
        <v>0</v>
      </c>
      <c r="BY304" s="1202">
        <v>0</v>
      </c>
      <c r="BZ304" s="1202">
        <v>20000</v>
      </c>
      <c r="CA304" s="1202">
        <v>1823718</v>
      </c>
      <c r="CB304" s="1202">
        <v>0</v>
      </c>
    </row>
    <row r="305" spans="1:80" s="1156" customFormat="1" x14ac:dyDescent="0.3">
      <c r="A305" s="1152">
        <v>646</v>
      </c>
      <c r="B305" s="1152">
        <v>646</v>
      </c>
      <c r="C305" s="1205" t="s">
        <v>755</v>
      </c>
      <c r="D305" s="1154"/>
      <c r="E305" s="1200">
        <v>223866</v>
      </c>
      <c r="F305" s="1201">
        <v>17754909</v>
      </c>
      <c r="G305" s="1201">
        <v>0</v>
      </c>
      <c r="H305" s="1201">
        <v>26757969</v>
      </c>
      <c r="I305" s="1201">
        <v>898323</v>
      </c>
      <c r="J305" s="1201">
        <v>358798</v>
      </c>
      <c r="K305" s="1201">
        <v>1794544</v>
      </c>
      <c r="L305" s="1202">
        <v>894677</v>
      </c>
      <c r="M305" s="1202">
        <v>16114299</v>
      </c>
      <c r="N305" s="1202">
        <v>0</v>
      </c>
      <c r="O305" s="1202">
        <v>545565</v>
      </c>
      <c r="P305" s="1202">
        <v>399661</v>
      </c>
      <c r="Q305" s="1202">
        <v>11592803</v>
      </c>
      <c r="R305" s="1202">
        <v>11350839</v>
      </c>
      <c r="S305" s="1202">
        <v>2169816</v>
      </c>
      <c r="T305" s="1202">
        <v>7962738</v>
      </c>
      <c r="U305" s="1202">
        <v>0</v>
      </c>
      <c r="V305" s="1202">
        <v>4544951</v>
      </c>
      <c r="W305" s="1202">
        <v>154114</v>
      </c>
      <c r="X305" s="1202">
        <v>7579047</v>
      </c>
      <c r="Y305" s="1202">
        <v>4733905</v>
      </c>
      <c r="Z305" s="1202">
        <v>3655801</v>
      </c>
      <c r="AA305" s="1202">
        <v>1460025</v>
      </c>
      <c r="AB305" s="1202">
        <v>3169120</v>
      </c>
      <c r="AC305" s="1202">
        <v>790501</v>
      </c>
      <c r="AD305" s="1202">
        <v>0</v>
      </c>
      <c r="AE305" s="1202">
        <v>1076929</v>
      </c>
      <c r="AF305" s="1202">
        <v>1095816</v>
      </c>
      <c r="AG305" s="1202">
        <v>67476</v>
      </c>
      <c r="AH305" s="1202">
        <v>43678</v>
      </c>
      <c r="AI305" s="1202">
        <v>133091</v>
      </c>
      <c r="AJ305" s="1202">
        <v>1849693</v>
      </c>
      <c r="AK305" s="1202">
        <v>1496970</v>
      </c>
      <c r="AL305" s="1202">
        <v>251082</v>
      </c>
      <c r="AM305" s="1202">
        <v>0</v>
      </c>
      <c r="AN305" s="1202">
        <v>6778499</v>
      </c>
      <c r="AO305" s="1202">
        <v>10483369</v>
      </c>
      <c r="AP305" s="1202">
        <v>587692</v>
      </c>
      <c r="AQ305" s="1202">
        <v>5991906</v>
      </c>
      <c r="AR305" s="1202">
        <v>6292190</v>
      </c>
      <c r="AS305" s="1202">
        <v>2100411</v>
      </c>
      <c r="AT305" s="1202">
        <v>412481</v>
      </c>
      <c r="AU305" s="1202">
        <v>2163570</v>
      </c>
      <c r="AV305" s="1202">
        <v>4296297</v>
      </c>
      <c r="AW305" s="1202">
        <v>146537</v>
      </c>
      <c r="AX305" s="1202">
        <v>320663</v>
      </c>
      <c r="AY305" s="1202">
        <v>2801595</v>
      </c>
      <c r="AZ305" s="1202">
        <v>2118946</v>
      </c>
      <c r="BA305" s="1202">
        <v>692567</v>
      </c>
      <c r="BB305" s="1202">
        <v>70512</v>
      </c>
      <c r="BC305" s="1202">
        <v>1275706</v>
      </c>
      <c r="BD305" s="1202">
        <v>0</v>
      </c>
      <c r="BE305" s="1202">
        <v>339209</v>
      </c>
      <c r="BF305" s="1202">
        <v>534450</v>
      </c>
      <c r="BG305" s="1202">
        <v>0</v>
      </c>
      <c r="BH305" s="1202">
        <v>0</v>
      </c>
      <c r="BI305" s="1202">
        <v>2658780</v>
      </c>
      <c r="BJ305" s="1202">
        <v>3020048</v>
      </c>
      <c r="BK305" s="1202">
        <v>300992</v>
      </c>
      <c r="BL305" s="1202">
        <v>2220366</v>
      </c>
      <c r="BM305" s="1202">
        <v>4615680</v>
      </c>
      <c r="BN305" s="1202">
        <v>0</v>
      </c>
      <c r="BO305" s="1202">
        <v>3063843</v>
      </c>
      <c r="BP305" s="1202">
        <v>3228718</v>
      </c>
      <c r="BQ305" s="1202">
        <v>949757</v>
      </c>
      <c r="BR305" s="1202">
        <v>2228673</v>
      </c>
      <c r="BS305" s="1202">
        <v>1095473</v>
      </c>
      <c r="BT305" s="1202">
        <v>7320281</v>
      </c>
      <c r="BU305" s="1202">
        <v>1683484</v>
      </c>
      <c r="BV305" s="1202">
        <v>1472029</v>
      </c>
      <c r="BW305" s="1202">
        <v>400799</v>
      </c>
      <c r="BX305" s="1202">
        <v>761324</v>
      </c>
      <c r="BY305" s="1202">
        <v>165153</v>
      </c>
      <c r="BZ305" s="1202">
        <v>172770</v>
      </c>
      <c r="CA305" s="1202">
        <v>10427779</v>
      </c>
      <c r="CB305" s="1202">
        <v>94313</v>
      </c>
    </row>
    <row r="306" spans="1:80" s="1156" customFormat="1" x14ac:dyDescent="0.3">
      <c r="A306" s="1152">
        <v>647</v>
      </c>
      <c r="B306" s="1152">
        <v>647</v>
      </c>
      <c r="C306" s="1205" t="s">
        <v>756</v>
      </c>
      <c r="D306" s="1154"/>
      <c r="E306" s="1200">
        <v>0</v>
      </c>
      <c r="F306" s="1201">
        <v>2861342</v>
      </c>
      <c r="G306" s="1201">
        <v>0</v>
      </c>
      <c r="H306" s="1201">
        <v>0</v>
      </c>
      <c r="I306" s="1201">
        <v>0</v>
      </c>
      <c r="J306" s="1201">
        <v>0</v>
      </c>
      <c r="K306" s="1201">
        <v>0</v>
      </c>
      <c r="L306" s="1202">
        <v>0</v>
      </c>
      <c r="M306" s="1202">
        <v>0</v>
      </c>
      <c r="N306" s="1202">
        <v>0</v>
      </c>
      <c r="O306" s="1202">
        <v>0</v>
      </c>
      <c r="P306" s="1202">
        <v>0</v>
      </c>
      <c r="Q306" s="1202">
        <v>0</v>
      </c>
      <c r="R306" s="1202">
        <v>0</v>
      </c>
      <c r="S306" s="1202">
        <v>0</v>
      </c>
      <c r="T306" s="1202">
        <v>0</v>
      </c>
      <c r="U306" s="1202">
        <v>0</v>
      </c>
      <c r="V306" s="1202">
        <v>0</v>
      </c>
      <c r="W306" s="1202">
        <v>0</v>
      </c>
      <c r="X306" s="1202">
        <v>0</v>
      </c>
      <c r="Y306" s="1202">
        <v>0</v>
      </c>
      <c r="Z306" s="1202">
        <v>0</v>
      </c>
      <c r="AA306" s="1202">
        <v>0</v>
      </c>
      <c r="AB306" s="1202">
        <v>0</v>
      </c>
      <c r="AC306" s="1202">
        <v>0</v>
      </c>
      <c r="AD306" s="1202">
        <v>0</v>
      </c>
      <c r="AE306" s="1202">
        <v>0</v>
      </c>
      <c r="AF306" s="1202">
        <v>0</v>
      </c>
      <c r="AG306" s="1202">
        <v>0</v>
      </c>
      <c r="AH306" s="1202">
        <v>0</v>
      </c>
      <c r="AI306" s="1202">
        <v>0</v>
      </c>
      <c r="AJ306" s="1202">
        <v>0</v>
      </c>
      <c r="AK306" s="1202">
        <v>0</v>
      </c>
      <c r="AL306" s="1202">
        <v>0</v>
      </c>
      <c r="AM306" s="1202">
        <v>0</v>
      </c>
      <c r="AN306" s="1202">
        <v>0</v>
      </c>
      <c r="AO306" s="1202">
        <v>0</v>
      </c>
      <c r="AP306" s="1202">
        <v>0</v>
      </c>
      <c r="AQ306" s="1202">
        <v>0</v>
      </c>
      <c r="AR306" s="1202">
        <v>0</v>
      </c>
      <c r="AS306" s="1202">
        <v>0</v>
      </c>
      <c r="AT306" s="1202">
        <v>0</v>
      </c>
      <c r="AU306" s="1202">
        <v>0</v>
      </c>
      <c r="AV306" s="1202">
        <v>0</v>
      </c>
      <c r="AW306" s="1202">
        <v>0</v>
      </c>
      <c r="AX306" s="1202">
        <v>0</v>
      </c>
      <c r="AY306" s="1202">
        <v>0</v>
      </c>
      <c r="AZ306" s="1202">
        <v>0</v>
      </c>
      <c r="BA306" s="1202">
        <v>0</v>
      </c>
      <c r="BB306" s="1202">
        <v>0</v>
      </c>
      <c r="BC306" s="1202">
        <v>0</v>
      </c>
      <c r="BD306" s="1202">
        <v>0</v>
      </c>
      <c r="BE306" s="1202">
        <v>0</v>
      </c>
      <c r="BF306" s="1202">
        <v>0</v>
      </c>
      <c r="BG306" s="1202">
        <v>0</v>
      </c>
      <c r="BH306" s="1202">
        <v>0</v>
      </c>
      <c r="BI306" s="1202">
        <v>0</v>
      </c>
      <c r="BJ306" s="1202">
        <v>0</v>
      </c>
      <c r="BK306" s="1202">
        <v>0</v>
      </c>
      <c r="BL306" s="1202">
        <v>0</v>
      </c>
      <c r="BM306" s="1202">
        <v>0</v>
      </c>
      <c r="BN306" s="1202">
        <v>0</v>
      </c>
      <c r="BO306" s="1202">
        <v>0</v>
      </c>
      <c r="BP306" s="1202">
        <v>0</v>
      </c>
      <c r="BQ306" s="1202">
        <v>0</v>
      </c>
      <c r="BR306" s="1202">
        <v>0</v>
      </c>
      <c r="BS306" s="1202">
        <v>0</v>
      </c>
      <c r="BT306" s="1202">
        <v>0</v>
      </c>
      <c r="BU306" s="1202">
        <v>0</v>
      </c>
      <c r="BV306" s="1202">
        <v>0</v>
      </c>
      <c r="BW306" s="1202">
        <v>0</v>
      </c>
      <c r="BX306" s="1202">
        <v>0</v>
      </c>
      <c r="BY306" s="1202">
        <v>0</v>
      </c>
      <c r="BZ306" s="1202">
        <v>0</v>
      </c>
      <c r="CA306" s="1202">
        <v>0</v>
      </c>
      <c r="CB306" s="1202">
        <v>0</v>
      </c>
    </row>
    <row r="307" spans="1:80" s="1156" customFormat="1" ht="28.8" x14ac:dyDescent="0.3">
      <c r="A307" s="1152">
        <v>654</v>
      </c>
      <c r="B307" s="1152">
        <v>654</v>
      </c>
      <c r="C307" s="1205" t="s">
        <v>816</v>
      </c>
      <c r="D307" s="1154"/>
      <c r="E307" s="1200">
        <v>0</v>
      </c>
      <c r="F307" s="1201">
        <v>0</v>
      </c>
      <c r="G307" s="1201">
        <v>0</v>
      </c>
      <c r="H307" s="1201">
        <v>41172199</v>
      </c>
      <c r="I307" s="1201">
        <v>11522673</v>
      </c>
      <c r="J307" s="1201">
        <v>259595</v>
      </c>
      <c r="K307" s="1201">
        <v>6153782</v>
      </c>
      <c r="L307" s="1202">
        <v>992346</v>
      </c>
      <c r="M307" s="1202">
        <v>6857887</v>
      </c>
      <c r="N307" s="1202">
        <v>0</v>
      </c>
      <c r="O307" s="1202">
        <v>1889058</v>
      </c>
      <c r="P307" s="1202">
        <v>1105971</v>
      </c>
      <c r="Q307" s="1202">
        <v>0</v>
      </c>
      <c r="R307" s="1202">
        <v>9475606</v>
      </c>
      <c r="S307" s="1202">
        <v>8535197</v>
      </c>
      <c r="T307" s="1202">
        <v>8342459</v>
      </c>
      <c r="U307" s="1202">
        <v>0</v>
      </c>
      <c r="V307" s="1202">
        <v>11969180</v>
      </c>
      <c r="W307" s="1202">
        <v>0</v>
      </c>
      <c r="X307" s="1202">
        <v>0</v>
      </c>
      <c r="Y307" s="1202">
        <v>187267</v>
      </c>
      <c r="Z307" s="1202">
        <v>3079802</v>
      </c>
      <c r="AA307" s="1202">
        <v>1361368</v>
      </c>
      <c r="AB307" s="1202">
        <v>638748</v>
      </c>
      <c r="AC307" s="1202">
        <v>0</v>
      </c>
      <c r="AD307" s="1202">
        <v>67699</v>
      </c>
      <c r="AE307" s="1202">
        <v>1673188</v>
      </c>
      <c r="AF307" s="1202">
        <v>1956139</v>
      </c>
      <c r="AG307" s="1202">
        <v>71266</v>
      </c>
      <c r="AH307" s="1202">
        <v>0</v>
      </c>
      <c r="AI307" s="1202">
        <v>0</v>
      </c>
      <c r="AJ307" s="1202">
        <v>916690</v>
      </c>
      <c r="AK307" s="1202">
        <v>7903727</v>
      </c>
      <c r="AL307" s="1202">
        <v>369723</v>
      </c>
      <c r="AM307" s="1202">
        <v>0</v>
      </c>
      <c r="AN307" s="1202">
        <v>21372052</v>
      </c>
      <c r="AO307" s="1202">
        <v>12518273</v>
      </c>
      <c r="AP307" s="1202">
        <v>125447</v>
      </c>
      <c r="AQ307" s="1202">
        <v>0</v>
      </c>
      <c r="AR307" s="1202">
        <v>7214153</v>
      </c>
      <c r="AS307" s="1202">
        <v>1594863</v>
      </c>
      <c r="AT307" s="1202">
        <v>303999</v>
      </c>
      <c r="AU307" s="1202">
        <v>1827770</v>
      </c>
      <c r="AV307" s="1202">
        <v>8677637</v>
      </c>
      <c r="AW307" s="1202">
        <v>1229395</v>
      </c>
      <c r="AX307" s="1202">
        <v>761286</v>
      </c>
      <c r="AY307" s="1202">
        <v>1382816</v>
      </c>
      <c r="AZ307" s="1202">
        <v>1166057</v>
      </c>
      <c r="BA307" s="1202">
        <v>2032086</v>
      </c>
      <c r="BB307" s="1202">
        <v>1587</v>
      </c>
      <c r="BC307" s="1202">
        <v>827367</v>
      </c>
      <c r="BD307" s="1202">
        <v>0</v>
      </c>
      <c r="BE307" s="1202">
        <v>0</v>
      </c>
      <c r="BF307" s="1202">
        <v>6031181</v>
      </c>
      <c r="BG307" s="1202">
        <v>0</v>
      </c>
      <c r="BH307" s="1202">
        <v>0</v>
      </c>
      <c r="BI307" s="1202">
        <v>939408</v>
      </c>
      <c r="BJ307" s="1202">
        <v>2086026</v>
      </c>
      <c r="BK307" s="1202">
        <v>38637</v>
      </c>
      <c r="BL307" s="1202">
        <v>5097090</v>
      </c>
      <c r="BM307" s="1202">
        <v>3221981</v>
      </c>
      <c r="BN307" s="1202">
        <v>0</v>
      </c>
      <c r="BO307" s="1202">
        <v>2575415</v>
      </c>
      <c r="BP307" s="1202">
        <v>4090262</v>
      </c>
      <c r="BQ307" s="1202">
        <v>1114058</v>
      </c>
      <c r="BR307" s="1202">
        <v>1954421</v>
      </c>
      <c r="BS307" s="1202">
        <v>0</v>
      </c>
      <c r="BT307" s="1202">
        <v>0</v>
      </c>
      <c r="BU307" s="1202">
        <v>1286428</v>
      </c>
      <c r="BV307" s="1202">
        <v>2231693</v>
      </c>
      <c r="BW307" s="1202">
        <v>326523</v>
      </c>
      <c r="BX307" s="1202">
        <v>1509425</v>
      </c>
      <c r="BY307" s="1202">
        <v>0</v>
      </c>
      <c r="BZ307" s="1202">
        <v>0</v>
      </c>
      <c r="CA307" s="1202">
        <v>9996425</v>
      </c>
      <c r="CB307" s="1202">
        <v>0</v>
      </c>
    </row>
    <row r="308" spans="1:80" s="1156" customFormat="1" ht="28.8" x14ac:dyDescent="0.3">
      <c r="A308" s="1152">
        <v>655</v>
      </c>
      <c r="B308" s="1152">
        <v>655</v>
      </c>
      <c r="C308" s="1205" t="s">
        <v>938</v>
      </c>
      <c r="D308" s="1154"/>
      <c r="E308" s="1200">
        <v>0</v>
      </c>
      <c r="F308" s="1201">
        <v>0</v>
      </c>
      <c r="G308" s="1201">
        <v>0</v>
      </c>
      <c r="H308" s="1201">
        <v>0</v>
      </c>
      <c r="I308" s="1201">
        <v>2378581</v>
      </c>
      <c r="J308" s="1201">
        <v>26586</v>
      </c>
      <c r="K308" s="1201">
        <v>72465</v>
      </c>
      <c r="L308" s="1202">
        <v>16971</v>
      </c>
      <c r="M308" s="1202">
        <v>436829</v>
      </c>
      <c r="N308" s="1202">
        <v>0</v>
      </c>
      <c r="O308" s="1202">
        <v>300420</v>
      </c>
      <c r="P308" s="1202">
        <v>65650</v>
      </c>
      <c r="Q308" s="1202">
        <v>0</v>
      </c>
      <c r="R308" s="1202">
        <v>1005732</v>
      </c>
      <c r="S308" s="1202">
        <v>0</v>
      </c>
      <c r="T308" s="1202">
        <v>55475</v>
      </c>
      <c r="U308" s="1202">
        <v>0</v>
      </c>
      <c r="V308" s="1202">
        <v>0</v>
      </c>
      <c r="W308" s="1202">
        <v>0</v>
      </c>
      <c r="X308" s="1202">
        <v>0</v>
      </c>
      <c r="Y308" s="1202">
        <v>0</v>
      </c>
      <c r="Z308" s="1202">
        <v>175540</v>
      </c>
      <c r="AA308" s="1202">
        <v>37435</v>
      </c>
      <c r="AB308" s="1202">
        <v>0</v>
      </c>
      <c r="AC308" s="1202">
        <v>0</v>
      </c>
      <c r="AD308" s="1202">
        <v>0</v>
      </c>
      <c r="AE308" s="1202">
        <v>31299</v>
      </c>
      <c r="AF308" s="1202">
        <v>20633</v>
      </c>
      <c r="AG308" s="1202">
        <v>5900</v>
      </c>
      <c r="AH308" s="1202">
        <v>0</v>
      </c>
      <c r="AI308" s="1202">
        <v>0</v>
      </c>
      <c r="AJ308" s="1202">
        <v>3045</v>
      </c>
      <c r="AK308" s="1202">
        <v>154723</v>
      </c>
      <c r="AL308" s="1202">
        <v>13350</v>
      </c>
      <c r="AM308" s="1202">
        <v>0</v>
      </c>
      <c r="AN308" s="1202">
        <v>1735182</v>
      </c>
      <c r="AO308" s="1202">
        <v>167885</v>
      </c>
      <c r="AP308" s="1202">
        <v>10650</v>
      </c>
      <c r="AQ308" s="1202">
        <v>0</v>
      </c>
      <c r="AR308" s="1202">
        <v>50765</v>
      </c>
      <c r="AS308" s="1202">
        <v>185092</v>
      </c>
      <c r="AT308" s="1202">
        <v>24561</v>
      </c>
      <c r="AU308" s="1202">
        <v>139220</v>
      </c>
      <c r="AV308" s="1202">
        <v>0</v>
      </c>
      <c r="AW308" s="1202">
        <v>49900</v>
      </c>
      <c r="AX308" s="1202">
        <v>24897</v>
      </c>
      <c r="AY308" s="1202">
        <v>98840</v>
      </c>
      <c r="AZ308" s="1202">
        <v>73103</v>
      </c>
      <c r="BA308" s="1202">
        <v>45295</v>
      </c>
      <c r="BB308" s="1202">
        <v>0</v>
      </c>
      <c r="BC308" s="1202">
        <v>89518</v>
      </c>
      <c r="BD308" s="1202">
        <v>0</v>
      </c>
      <c r="BE308" s="1202">
        <v>0</v>
      </c>
      <c r="BF308" s="1202">
        <v>40370</v>
      </c>
      <c r="BG308" s="1202">
        <v>0</v>
      </c>
      <c r="BH308" s="1202">
        <v>0</v>
      </c>
      <c r="BI308" s="1202">
        <v>41630</v>
      </c>
      <c r="BJ308" s="1202">
        <v>0</v>
      </c>
      <c r="BK308" s="1202">
        <v>0</v>
      </c>
      <c r="BL308" s="1202">
        <v>38980</v>
      </c>
      <c r="BM308" s="1202">
        <v>183172</v>
      </c>
      <c r="BN308" s="1202">
        <v>0</v>
      </c>
      <c r="BO308" s="1202">
        <v>248740</v>
      </c>
      <c r="BP308" s="1202">
        <v>320529</v>
      </c>
      <c r="BQ308" s="1202">
        <v>39450</v>
      </c>
      <c r="BR308" s="1202">
        <v>64381</v>
      </c>
      <c r="BS308" s="1202">
        <v>0</v>
      </c>
      <c r="BT308" s="1202">
        <v>0</v>
      </c>
      <c r="BU308" s="1202">
        <v>0</v>
      </c>
      <c r="BV308" s="1202">
        <v>0</v>
      </c>
      <c r="BW308" s="1202">
        <v>42761</v>
      </c>
      <c r="BX308" s="1202">
        <v>26655</v>
      </c>
      <c r="BY308" s="1202">
        <v>0</v>
      </c>
      <c r="BZ308" s="1202">
        <v>0</v>
      </c>
      <c r="CA308" s="1202">
        <v>1573791</v>
      </c>
      <c r="CB308" s="1202">
        <v>0</v>
      </c>
    </row>
    <row r="309" spans="1:80" s="1156" customFormat="1" ht="28.8" x14ac:dyDescent="0.3">
      <c r="A309" s="1152">
        <v>656</v>
      </c>
      <c r="B309" s="1152">
        <v>656</v>
      </c>
      <c r="C309" s="1205" t="s">
        <v>824</v>
      </c>
      <c r="D309" s="1154"/>
      <c r="E309" s="1200">
        <v>0</v>
      </c>
      <c r="F309" s="1201">
        <v>0</v>
      </c>
      <c r="G309" s="1201">
        <v>0</v>
      </c>
      <c r="H309" s="1201">
        <v>0</v>
      </c>
      <c r="I309" s="1201">
        <v>0</v>
      </c>
      <c r="J309" s="1201">
        <v>0</v>
      </c>
      <c r="K309" s="1201">
        <v>2</v>
      </c>
      <c r="L309" s="1202">
        <v>2</v>
      </c>
      <c r="M309" s="1202">
        <v>0</v>
      </c>
      <c r="N309" s="1202">
        <v>0</v>
      </c>
      <c r="O309" s="1202">
        <v>2</v>
      </c>
      <c r="P309" s="1202">
        <v>0</v>
      </c>
      <c r="Q309" s="1202">
        <v>2</v>
      </c>
      <c r="R309" s="1202">
        <v>2</v>
      </c>
      <c r="S309" s="1202">
        <v>0</v>
      </c>
      <c r="T309" s="1202">
        <v>2</v>
      </c>
      <c r="U309" s="1202">
        <v>0</v>
      </c>
      <c r="V309" s="1202">
        <v>0</v>
      </c>
      <c r="W309" s="1202">
        <v>0</v>
      </c>
      <c r="X309" s="1202">
        <v>0</v>
      </c>
      <c r="Y309" s="1202">
        <v>2</v>
      </c>
      <c r="Z309" s="1202">
        <v>2</v>
      </c>
      <c r="AA309" s="1202">
        <v>2</v>
      </c>
      <c r="AB309" s="1202">
        <v>2</v>
      </c>
      <c r="AC309" s="1202">
        <v>0</v>
      </c>
      <c r="AD309" s="1202">
        <v>0</v>
      </c>
      <c r="AE309" s="1202">
        <v>0</v>
      </c>
      <c r="AF309" s="1202">
        <v>2</v>
      </c>
      <c r="AG309" s="1202">
        <v>2</v>
      </c>
      <c r="AH309" s="1202">
        <v>2</v>
      </c>
      <c r="AI309" s="1202">
        <v>0</v>
      </c>
      <c r="AJ309" s="1202">
        <v>2</v>
      </c>
      <c r="AK309" s="1202">
        <v>2</v>
      </c>
      <c r="AL309" s="1202">
        <v>2</v>
      </c>
      <c r="AM309" s="1202">
        <v>2</v>
      </c>
      <c r="AN309" s="1202">
        <v>2</v>
      </c>
      <c r="AO309" s="1202">
        <v>2</v>
      </c>
      <c r="AP309" s="1202">
        <v>2</v>
      </c>
      <c r="AQ309" s="1202">
        <v>0</v>
      </c>
      <c r="AR309" s="1202">
        <v>2</v>
      </c>
      <c r="AS309" s="1202">
        <v>2</v>
      </c>
      <c r="AT309" s="1202">
        <v>2</v>
      </c>
      <c r="AU309" s="1202">
        <v>2</v>
      </c>
      <c r="AV309" s="1202">
        <v>2</v>
      </c>
      <c r="AW309" s="1202">
        <v>2</v>
      </c>
      <c r="AX309" s="1202">
        <v>2</v>
      </c>
      <c r="AY309" s="1202">
        <v>2</v>
      </c>
      <c r="AZ309" s="1202">
        <v>0</v>
      </c>
      <c r="BA309" s="1202">
        <v>0</v>
      </c>
      <c r="BB309" s="1202">
        <v>0</v>
      </c>
      <c r="BC309" s="1202">
        <v>0</v>
      </c>
      <c r="BD309" s="1202">
        <v>0</v>
      </c>
      <c r="BE309" s="1202">
        <v>2</v>
      </c>
      <c r="BF309" s="1202">
        <v>0</v>
      </c>
      <c r="BG309" s="1202">
        <v>0</v>
      </c>
      <c r="BH309" s="1202">
        <v>0</v>
      </c>
      <c r="BI309" s="1202">
        <v>0</v>
      </c>
      <c r="BJ309" s="1202">
        <v>0</v>
      </c>
      <c r="BK309" s="1202">
        <v>0</v>
      </c>
      <c r="BL309" s="1202">
        <v>2</v>
      </c>
      <c r="BM309" s="1202">
        <v>2</v>
      </c>
      <c r="BN309" s="1202">
        <v>2</v>
      </c>
      <c r="BO309" s="1202">
        <v>2</v>
      </c>
      <c r="BP309" s="1202">
        <v>2</v>
      </c>
      <c r="BQ309" s="1202">
        <v>2</v>
      </c>
      <c r="BR309" s="1202">
        <v>2</v>
      </c>
      <c r="BS309" s="1202">
        <v>2</v>
      </c>
      <c r="BT309" s="1202">
        <v>2</v>
      </c>
      <c r="BU309" s="1202">
        <v>0</v>
      </c>
      <c r="BV309" s="1202">
        <v>2</v>
      </c>
      <c r="BW309" s="1202">
        <v>2</v>
      </c>
      <c r="BX309" s="1202">
        <v>2</v>
      </c>
      <c r="BY309" s="1202">
        <v>2</v>
      </c>
      <c r="BZ309" s="1202">
        <v>0</v>
      </c>
      <c r="CA309" s="1202">
        <v>2</v>
      </c>
      <c r="CB309" s="1202">
        <v>2</v>
      </c>
    </row>
    <row r="310" spans="1:80" s="1156" customFormat="1" ht="43.2" x14ac:dyDescent="0.3">
      <c r="A310" s="1152">
        <v>657</v>
      </c>
      <c r="B310" s="1152">
        <v>657</v>
      </c>
      <c r="C310" s="1205" t="s">
        <v>821</v>
      </c>
      <c r="D310" s="1154"/>
      <c r="E310" s="1200">
        <v>0</v>
      </c>
      <c r="F310" s="1201">
        <v>0</v>
      </c>
      <c r="G310" s="1201">
        <v>0</v>
      </c>
      <c r="H310" s="1201">
        <v>0</v>
      </c>
      <c r="I310" s="1201">
        <v>0</v>
      </c>
      <c r="J310" s="1201">
        <v>0</v>
      </c>
      <c r="K310" s="1201">
        <v>0</v>
      </c>
      <c r="L310" s="1202">
        <v>0</v>
      </c>
      <c r="M310" s="1202">
        <v>0</v>
      </c>
      <c r="N310" s="1202">
        <v>0</v>
      </c>
      <c r="O310" s="1202">
        <v>0</v>
      </c>
      <c r="P310" s="1202">
        <v>0</v>
      </c>
      <c r="Q310" s="1202">
        <v>0</v>
      </c>
      <c r="R310" s="1202">
        <v>0</v>
      </c>
      <c r="S310" s="1202">
        <v>0</v>
      </c>
      <c r="T310" s="1202">
        <v>7890179</v>
      </c>
      <c r="U310" s="1202">
        <v>0</v>
      </c>
      <c r="V310" s="1202">
        <v>33446711</v>
      </c>
      <c r="W310" s="1202">
        <v>0</v>
      </c>
      <c r="X310" s="1202">
        <v>0</v>
      </c>
      <c r="Y310" s="1202">
        <v>0</v>
      </c>
      <c r="Z310" s="1202">
        <v>0</v>
      </c>
      <c r="AA310" s="1202">
        <v>1460398</v>
      </c>
      <c r="AB310" s="1202">
        <v>0</v>
      </c>
      <c r="AC310" s="1202">
        <v>0</v>
      </c>
      <c r="AD310" s="1202">
        <v>0</v>
      </c>
      <c r="AE310" s="1202">
        <v>0</v>
      </c>
      <c r="AF310" s="1202">
        <v>1838762</v>
      </c>
      <c r="AG310" s="1202">
        <v>0</v>
      </c>
      <c r="AH310" s="1202">
        <v>0</v>
      </c>
      <c r="AI310" s="1202">
        <v>0</v>
      </c>
      <c r="AJ310" s="1202">
        <v>0</v>
      </c>
      <c r="AK310" s="1202">
        <v>10126836</v>
      </c>
      <c r="AL310" s="1202">
        <v>0</v>
      </c>
      <c r="AM310" s="1202">
        <v>0</v>
      </c>
      <c r="AN310" s="1202">
        <v>0</v>
      </c>
      <c r="AO310" s="1202">
        <v>0</v>
      </c>
      <c r="AP310" s="1202">
        <v>0</v>
      </c>
      <c r="AQ310" s="1202">
        <v>0</v>
      </c>
      <c r="AR310" s="1202">
        <v>21893319</v>
      </c>
      <c r="AS310" s="1202">
        <v>0</v>
      </c>
      <c r="AT310" s="1202">
        <v>0</v>
      </c>
      <c r="AU310" s="1202">
        <v>0</v>
      </c>
      <c r="AV310" s="1202">
        <v>3573338</v>
      </c>
      <c r="AW310" s="1202">
        <v>0</v>
      </c>
      <c r="AX310" s="1202">
        <v>0</v>
      </c>
      <c r="AY310" s="1202">
        <v>0</v>
      </c>
      <c r="AZ310" s="1202">
        <v>0</v>
      </c>
      <c r="BA310" s="1202">
        <v>2623720</v>
      </c>
      <c r="BB310" s="1202">
        <v>0</v>
      </c>
      <c r="BC310" s="1202">
        <v>0</v>
      </c>
      <c r="BD310" s="1202">
        <v>0</v>
      </c>
      <c r="BE310" s="1202">
        <v>0</v>
      </c>
      <c r="BF310" s="1202">
        <v>14755146</v>
      </c>
      <c r="BG310" s="1202">
        <v>0</v>
      </c>
      <c r="BH310" s="1202">
        <v>0</v>
      </c>
      <c r="BI310" s="1202">
        <v>0</v>
      </c>
      <c r="BJ310" s="1202">
        <v>0</v>
      </c>
      <c r="BK310" s="1202">
        <v>0</v>
      </c>
      <c r="BL310" s="1202">
        <v>3572360</v>
      </c>
      <c r="BM310" s="1202">
        <v>0</v>
      </c>
      <c r="BN310" s="1202">
        <v>0</v>
      </c>
      <c r="BO310" s="1202">
        <v>0</v>
      </c>
      <c r="BP310" s="1202">
        <v>0</v>
      </c>
      <c r="BQ310" s="1202">
        <v>0</v>
      </c>
      <c r="BR310" s="1202">
        <v>0</v>
      </c>
      <c r="BS310" s="1202">
        <v>0</v>
      </c>
      <c r="BT310" s="1202">
        <v>0</v>
      </c>
      <c r="BU310" s="1202">
        <v>0</v>
      </c>
      <c r="BV310" s="1202">
        <v>0</v>
      </c>
      <c r="BW310" s="1202">
        <v>0</v>
      </c>
      <c r="BX310" s="1202">
        <v>0</v>
      </c>
      <c r="BY310" s="1202">
        <v>0</v>
      </c>
      <c r="BZ310" s="1202">
        <v>0</v>
      </c>
      <c r="CA310" s="1202">
        <v>0</v>
      </c>
      <c r="CB310" s="1202">
        <v>0</v>
      </c>
    </row>
    <row r="311" spans="1:80" s="1156" customFormat="1" ht="28.8" x14ac:dyDescent="0.3">
      <c r="A311" s="1152">
        <v>658</v>
      </c>
      <c r="B311" s="1152">
        <v>658</v>
      </c>
      <c r="C311" s="1205" t="s">
        <v>937</v>
      </c>
      <c r="D311" s="1154"/>
      <c r="E311" s="1200">
        <v>0</v>
      </c>
      <c r="F311" s="1201">
        <v>0</v>
      </c>
      <c r="G311" s="1201">
        <v>0</v>
      </c>
      <c r="H311" s="1201">
        <v>0</v>
      </c>
      <c r="I311" s="1201">
        <v>0</v>
      </c>
      <c r="J311" s="1201">
        <v>0</v>
      </c>
      <c r="K311" s="1201">
        <v>0</v>
      </c>
      <c r="L311" s="1202">
        <v>0</v>
      </c>
      <c r="M311" s="1202">
        <v>0</v>
      </c>
      <c r="N311" s="1202">
        <v>0</v>
      </c>
      <c r="O311" s="1202">
        <v>0</v>
      </c>
      <c r="P311" s="1202">
        <v>0</v>
      </c>
      <c r="Q311" s="1202">
        <v>0</v>
      </c>
      <c r="R311" s="1202">
        <v>0</v>
      </c>
      <c r="S311" s="1202">
        <v>0</v>
      </c>
      <c r="T311" s="1202">
        <v>162477</v>
      </c>
      <c r="U311" s="1202">
        <v>0</v>
      </c>
      <c r="V311" s="1202">
        <v>1729520</v>
      </c>
      <c r="W311" s="1202">
        <v>0</v>
      </c>
      <c r="X311" s="1202">
        <v>0</v>
      </c>
      <c r="Y311" s="1202">
        <v>0</v>
      </c>
      <c r="Z311" s="1202">
        <v>0</v>
      </c>
      <c r="AA311" s="1202">
        <v>200656</v>
      </c>
      <c r="AB311" s="1202">
        <v>0</v>
      </c>
      <c r="AC311" s="1202">
        <v>0</v>
      </c>
      <c r="AD311" s="1202">
        <v>0</v>
      </c>
      <c r="AE311" s="1202">
        <v>0</v>
      </c>
      <c r="AF311" s="1202">
        <v>122305</v>
      </c>
      <c r="AG311" s="1202">
        <v>0</v>
      </c>
      <c r="AH311" s="1202">
        <v>0</v>
      </c>
      <c r="AI311" s="1202">
        <v>0</v>
      </c>
      <c r="AJ311" s="1202">
        <v>0</v>
      </c>
      <c r="AK311" s="1202">
        <v>736892</v>
      </c>
      <c r="AL311" s="1202">
        <v>0</v>
      </c>
      <c r="AM311" s="1202">
        <v>0</v>
      </c>
      <c r="AN311" s="1202">
        <v>0</v>
      </c>
      <c r="AO311" s="1202">
        <v>0</v>
      </c>
      <c r="AP311" s="1202">
        <v>0</v>
      </c>
      <c r="AQ311" s="1202">
        <v>0</v>
      </c>
      <c r="AR311" s="1202">
        <v>639462</v>
      </c>
      <c r="AS311" s="1202">
        <v>0</v>
      </c>
      <c r="AT311" s="1202">
        <v>0</v>
      </c>
      <c r="AU311" s="1202">
        <v>0</v>
      </c>
      <c r="AV311" s="1202">
        <v>0</v>
      </c>
      <c r="AW311" s="1202">
        <v>0</v>
      </c>
      <c r="AX311" s="1202">
        <v>0</v>
      </c>
      <c r="AY311" s="1202">
        <v>0</v>
      </c>
      <c r="AZ311" s="1202">
        <v>0</v>
      </c>
      <c r="BA311" s="1202">
        <v>429974</v>
      </c>
      <c r="BB311" s="1202">
        <v>0</v>
      </c>
      <c r="BC311" s="1202">
        <v>0</v>
      </c>
      <c r="BD311" s="1202">
        <v>0</v>
      </c>
      <c r="BE311" s="1202">
        <v>0</v>
      </c>
      <c r="BF311" s="1202">
        <v>1300338</v>
      </c>
      <c r="BG311" s="1202">
        <v>0</v>
      </c>
      <c r="BH311" s="1202">
        <v>0</v>
      </c>
      <c r="BI311" s="1202">
        <v>0</v>
      </c>
      <c r="BJ311" s="1202">
        <v>0</v>
      </c>
      <c r="BK311" s="1202">
        <v>0</v>
      </c>
      <c r="BL311" s="1202">
        <v>126513</v>
      </c>
      <c r="BM311" s="1202">
        <v>0</v>
      </c>
      <c r="BN311" s="1202">
        <v>0</v>
      </c>
      <c r="BO311" s="1202">
        <v>0</v>
      </c>
      <c r="BP311" s="1202">
        <v>0</v>
      </c>
      <c r="BQ311" s="1202">
        <v>0</v>
      </c>
      <c r="BR311" s="1202">
        <v>0</v>
      </c>
      <c r="BS311" s="1202">
        <v>0</v>
      </c>
      <c r="BT311" s="1202">
        <v>0</v>
      </c>
      <c r="BU311" s="1202">
        <v>0</v>
      </c>
      <c r="BV311" s="1202">
        <v>0</v>
      </c>
      <c r="BW311" s="1202">
        <v>0</v>
      </c>
      <c r="BX311" s="1202">
        <v>0</v>
      </c>
      <c r="BY311" s="1202">
        <v>0</v>
      </c>
      <c r="BZ311" s="1202">
        <v>0</v>
      </c>
      <c r="CA311" s="1202">
        <v>0</v>
      </c>
      <c r="CB311" s="1202">
        <v>0</v>
      </c>
    </row>
    <row r="312" spans="1:80" s="1156" customFormat="1" ht="28.8" x14ac:dyDescent="0.3">
      <c r="A312" s="1152">
        <v>659</v>
      </c>
      <c r="B312" s="1152">
        <v>659</v>
      </c>
      <c r="C312" s="1205" t="s">
        <v>819</v>
      </c>
      <c r="D312" s="1154"/>
      <c r="E312" s="1200">
        <v>0</v>
      </c>
      <c r="F312" s="1201">
        <v>0</v>
      </c>
      <c r="G312" s="1201">
        <v>0</v>
      </c>
      <c r="H312" s="1201">
        <v>1891568</v>
      </c>
      <c r="I312" s="1201">
        <v>378093</v>
      </c>
      <c r="J312" s="1201">
        <v>540761</v>
      </c>
      <c r="K312" s="1201">
        <v>0</v>
      </c>
      <c r="L312" s="1202">
        <v>403413</v>
      </c>
      <c r="M312" s="1202">
        <v>53789123</v>
      </c>
      <c r="N312" s="1202">
        <v>0</v>
      </c>
      <c r="O312" s="1202">
        <v>782626</v>
      </c>
      <c r="P312" s="1202">
        <v>0</v>
      </c>
      <c r="Q312" s="1202">
        <v>13652244</v>
      </c>
      <c r="R312" s="1202">
        <v>3863308</v>
      </c>
      <c r="S312" s="1202">
        <v>278065</v>
      </c>
      <c r="T312" s="1202">
        <v>11230467</v>
      </c>
      <c r="U312" s="1202">
        <v>0</v>
      </c>
      <c r="V312" s="1202">
        <v>354539</v>
      </c>
      <c r="W312" s="1202">
        <v>0</v>
      </c>
      <c r="X312" s="1202">
        <v>1789903</v>
      </c>
      <c r="Y312" s="1202">
        <v>6544172</v>
      </c>
      <c r="Z312" s="1202">
        <v>1858617</v>
      </c>
      <c r="AA312" s="1202">
        <v>43687</v>
      </c>
      <c r="AB312" s="1202">
        <v>453202</v>
      </c>
      <c r="AC312" s="1202">
        <v>0</v>
      </c>
      <c r="AD312" s="1202">
        <v>0</v>
      </c>
      <c r="AE312" s="1202">
        <v>0</v>
      </c>
      <c r="AF312" s="1202">
        <v>0</v>
      </c>
      <c r="AG312" s="1202">
        <v>0</v>
      </c>
      <c r="AH312" s="1202">
        <v>0</v>
      </c>
      <c r="AI312" s="1202">
        <v>0</v>
      </c>
      <c r="AJ312" s="1202">
        <v>0</v>
      </c>
      <c r="AK312" s="1202">
        <v>2113036</v>
      </c>
      <c r="AL312" s="1202">
        <v>0</v>
      </c>
      <c r="AM312" s="1202">
        <v>0</v>
      </c>
      <c r="AN312" s="1202">
        <v>0</v>
      </c>
      <c r="AO312" s="1202">
        <v>2518275</v>
      </c>
      <c r="AP312" s="1202">
        <v>0</v>
      </c>
      <c r="AQ312" s="1202">
        <v>0</v>
      </c>
      <c r="AR312" s="1202">
        <v>16097031</v>
      </c>
      <c r="AS312" s="1202">
        <v>0</v>
      </c>
      <c r="AT312" s="1202">
        <v>208528</v>
      </c>
      <c r="AU312" s="1202">
        <v>1128480</v>
      </c>
      <c r="AV312" s="1202">
        <v>10285334</v>
      </c>
      <c r="AW312" s="1202">
        <v>0</v>
      </c>
      <c r="AX312" s="1202">
        <v>0</v>
      </c>
      <c r="AY312" s="1202">
        <v>0</v>
      </c>
      <c r="AZ312" s="1202">
        <v>123863</v>
      </c>
      <c r="BA312" s="1202">
        <v>1272028</v>
      </c>
      <c r="BB312" s="1202">
        <v>0</v>
      </c>
      <c r="BC312" s="1202">
        <v>369689</v>
      </c>
      <c r="BD312" s="1202">
        <v>0</v>
      </c>
      <c r="BE312" s="1202">
        <v>0</v>
      </c>
      <c r="BF312" s="1202">
        <v>39181436</v>
      </c>
      <c r="BG312" s="1202">
        <v>0</v>
      </c>
      <c r="BH312" s="1202">
        <v>0</v>
      </c>
      <c r="BI312" s="1202">
        <v>4232643</v>
      </c>
      <c r="BJ312" s="1202">
        <v>208129</v>
      </c>
      <c r="BK312" s="1202">
        <v>0</v>
      </c>
      <c r="BL312" s="1202">
        <v>504375</v>
      </c>
      <c r="BM312" s="1202">
        <v>1823461</v>
      </c>
      <c r="BN312" s="1202">
        <v>0</v>
      </c>
      <c r="BO312" s="1202">
        <v>104185</v>
      </c>
      <c r="BP312" s="1202">
        <v>0</v>
      </c>
      <c r="BQ312" s="1202">
        <v>0</v>
      </c>
      <c r="BR312" s="1202">
        <v>0</v>
      </c>
      <c r="BS312" s="1202">
        <v>0</v>
      </c>
      <c r="BT312" s="1202">
        <v>0</v>
      </c>
      <c r="BU312" s="1202">
        <v>0</v>
      </c>
      <c r="BV312" s="1202">
        <v>4772429</v>
      </c>
      <c r="BW312" s="1202">
        <v>0</v>
      </c>
      <c r="BX312" s="1202">
        <v>0</v>
      </c>
      <c r="BY312" s="1202">
        <v>0</v>
      </c>
      <c r="BZ312" s="1202">
        <v>0</v>
      </c>
      <c r="CA312" s="1202">
        <v>7870810</v>
      </c>
      <c r="CB312" s="1202">
        <v>0</v>
      </c>
    </row>
    <row r="313" spans="1:80" s="1156" customFormat="1" ht="28.8" x14ac:dyDescent="0.3">
      <c r="A313" s="1152">
        <v>660</v>
      </c>
      <c r="B313" s="1152">
        <v>660</v>
      </c>
      <c r="C313" s="1205" t="s">
        <v>820</v>
      </c>
      <c r="D313" s="1154"/>
      <c r="E313" s="1200">
        <v>0</v>
      </c>
      <c r="F313" s="1201">
        <v>0</v>
      </c>
      <c r="G313" s="1201">
        <v>0</v>
      </c>
      <c r="H313" s="1201">
        <v>0</v>
      </c>
      <c r="I313" s="1201">
        <v>0</v>
      </c>
      <c r="J313" s="1201">
        <v>0</v>
      </c>
      <c r="K313" s="1201">
        <v>0</v>
      </c>
      <c r="L313" s="1202">
        <v>0</v>
      </c>
      <c r="M313" s="1202">
        <v>0</v>
      </c>
      <c r="N313" s="1202">
        <v>0</v>
      </c>
      <c r="O313" s="1202">
        <v>0</v>
      </c>
      <c r="P313" s="1202">
        <v>0</v>
      </c>
      <c r="Q313" s="1202">
        <v>0</v>
      </c>
      <c r="R313" s="1202">
        <v>218734</v>
      </c>
      <c r="S313" s="1202">
        <v>0</v>
      </c>
      <c r="T313" s="1202">
        <v>0</v>
      </c>
      <c r="U313" s="1202">
        <v>0</v>
      </c>
      <c r="V313" s="1202">
        <v>0</v>
      </c>
      <c r="W313" s="1202">
        <v>0</v>
      </c>
      <c r="X313" s="1202">
        <v>0</v>
      </c>
      <c r="Y313" s="1202">
        <v>0</v>
      </c>
      <c r="Z313" s="1202">
        <v>0</v>
      </c>
      <c r="AA313" s="1202">
        <v>0</v>
      </c>
      <c r="AB313" s="1202">
        <v>0</v>
      </c>
      <c r="AC313" s="1202">
        <v>0</v>
      </c>
      <c r="AD313" s="1202">
        <v>0</v>
      </c>
      <c r="AE313" s="1202">
        <v>0</v>
      </c>
      <c r="AF313" s="1202">
        <v>0</v>
      </c>
      <c r="AG313" s="1202">
        <v>0</v>
      </c>
      <c r="AH313" s="1202">
        <v>0</v>
      </c>
      <c r="AI313" s="1202">
        <v>0</v>
      </c>
      <c r="AJ313" s="1202">
        <v>0</v>
      </c>
      <c r="AK313" s="1202">
        <v>0</v>
      </c>
      <c r="AL313" s="1202">
        <v>0</v>
      </c>
      <c r="AM313" s="1202">
        <v>0</v>
      </c>
      <c r="AN313" s="1202">
        <v>0</v>
      </c>
      <c r="AO313" s="1202">
        <v>0</v>
      </c>
      <c r="AP313" s="1202">
        <v>0</v>
      </c>
      <c r="AQ313" s="1202">
        <v>0</v>
      </c>
      <c r="AR313" s="1202">
        <v>0</v>
      </c>
      <c r="AS313" s="1202">
        <v>0</v>
      </c>
      <c r="AT313" s="1202">
        <v>0</v>
      </c>
      <c r="AU313" s="1202">
        <v>0</v>
      </c>
      <c r="AV313" s="1202">
        <v>0</v>
      </c>
      <c r="AW313" s="1202">
        <v>0</v>
      </c>
      <c r="AX313" s="1202">
        <v>0</v>
      </c>
      <c r="AY313" s="1202">
        <v>0</v>
      </c>
      <c r="AZ313" s="1202">
        <v>0</v>
      </c>
      <c r="BA313" s="1202">
        <v>0</v>
      </c>
      <c r="BB313" s="1202">
        <v>0</v>
      </c>
      <c r="BC313" s="1202">
        <v>0</v>
      </c>
      <c r="BD313" s="1202">
        <v>0</v>
      </c>
      <c r="BE313" s="1202">
        <v>0</v>
      </c>
      <c r="BF313" s="1202">
        <v>0</v>
      </c>
      <c r="BG313" s="1202">
        <v>0</v>
      </c>
      <c r="BH313" s="1202">
        <v>0</v>
      </c>
      <c r="BI313" s="1202">
        <v>0</v>
      </c>
      <c r="BJ313" s="1202">
        <v>0</v>
      </c>
      <c r="BK313" s="1202">
        <v>0</v>
      </c>
      <c r="BL313" s="1202">
        <v>0</v>
      </c>
      <c r="BM313" s="1202">
        <v>0</v>
      </c>
      <c r="BN313" s="1202">
        <v>0</v>
      </c>
      <c r="BO313" s="1202">
        <v>0</v>
      </c>
      <c r="BP313" s="1202">
        <v>0</v>
      </c>
      <c r="BQ313" s="1202">
        <v>0</v>
      </c>
      <c r="BR313" s="1202">
        <v>0</v>
      </c>
      <c r="BS313" s="1202">
        <v>0</v>
      </c>
      <c r="BT313" s="1202">
        <v>0</v>
      </c>
      <c r="BU313" s="1202">
        <v>0</v>
      </c>
      <c r="BV313" s="1202">
        <v>0</v>
      </c>
      <c r="BW313" s="1202">
        <v>0</v>
      </c>
      <c r="BX313" s="1202">
        <v>0</v>
      </c>
      <c r="BY313" s="1202">
        <v>0</v>
      </c>
      <c r="BZ313" s="1202">
        <v>0</v>
      </c>
      <c r="CA313" s="1202">
        <v>0</v>
      </c>
      <c r="CB313" s="1202">
        <v>0</v>
      </c>
    </row>
    <row r="314" spans="1:80" s="1156" customFormat="1" ht="28.8" x14ac:dyDescent="0.3">
      <c r="A314" s="1152">
        <v>661</v>
      </c>
      <c r="B314" s="1152">
        <v>661</v>
      </c>
      <c r="C314" s="1205" t="s">
        <v>823</v>
      </c>
      <c r="D314" s="1154"/>
      <c r="E314" s="1200">
        <v>0</v>
      </c>
      <c r="F314" s="1201">
        <v>0</v>
      </c>
      <c r="G314" s="1201">
        <v>0</v>
      </c>
      <c r="H314" s="1201">
        <v>0</v>
      </c>
      <c r="I314" s="1201">
        <v>0</v>
      </c>
      <c r="J314" s="1201">
        <v>0</v>
      </c>
      <c r="K314" s="1201">
        <v>0</v>
      </c>
      <c r="L314" s="1202">
        <v>0</v>
      </c>
      <c r="M314" s="1202">
        <v>0</v>
      </c>
      <c r="N314" s="1202">
        <v>0</v>
      </c>
      <c r="O314" s="1202">
        <v>0</v>
      </c>
      <c r="P314" s="1202">
        <v>0</v>
      </c>
      <c r="Q314" s="1202">
        <v>0</v>
      </c>
      <c r="R314" s="1202">
        <v>5.7</v>
      </c>
      <c r="S314" s="1202">
        <v>0</v>
      </c>
      <c r="T314" s="1202">
        <v>0</v>
      </c>
      <c r="U314" s="1202">
        <v>0</v>
      </c>
      <c r="V314" s="1202">
        <v>0</v>
      </c>
      <c r="W314" s="1202">
        <v>0</v>
      </c>
      <c r="X314" s="1202">
        <v>0</v>
      </c>
      <c r="Y314" s="1202">
        <v>0</v>
      </c>
      <c r="Z314" s="1202">
        <v>0</v>
      </c>
      <c r="AA314" s="1202">
        <v>0</v>
      </c>
      <c r="AB314" s="1202">
        <v>0</v>
      </c>
      <c r="AC314" s="1202">
        <v>0</v>
      </c>
      <c r="AD314" s="1202">
        <v>0</v>
      </c>
      <c r="AE314" s="1202">
        <v>0</v>
      </c>
      <c r="AF314" s="1202">
        <v>0</v>
      </c>
      <c r="AG314" s="1202">
        <v>0</v>
      </c>
      <c r="AH314" s="1202">
        <v>0</v>
      </c>
      <c r="AI314" s="1202">
        <v>0</v>
      </c>
      <c r="AJ314" s="1202">
        <v>0</v>
      </c>
      <c r="AK314" s="1202">
        <v>0</v>
      </c>
      <c r="AL314" s="1202">
        <v>0</v>
      </c>
      <c r="AM314" s="1202">
        <v>0</v>
      </c>
      <c r="AN314" s="1202">
        <v>0</v>
      </c>
      <c r="AO314" s="1202">
        <v>0</v>
      </c>
      <c r="AP314" s="1202">
        <v>0</v>
      </c>
      <c r="AQ314" s="1202">
        <v>0</v>
      </c>
      <c r="AR314" s="1202">
        <v>0</v>
      </c>
      <c r="AS314" s="1202">
        <v>0</v>
      </c>
      <c r="AT314" s="1202">
        <v>0</v>
      </c>
      <c r="AU314" s="1202">
        <v>0</v>
      </c>
      <c r="AV314" s="1202">
        <v>0</v>
      </c>
      <c r="AW314" s="1202">
        <v>0</v>
      </c>
      <c r="AX314" s="1202">
        <v>0</v>
      </c>
      <c r="AY314" s="1202">
        <v>0</v>
      </c>
      <c r="AZ314" s="1202">
        <v>0</v>
      </c>
      <c r="BA314" s="1202">
        <v>0</v>
      </c>
      <c r="BB314" s="1202">
        <v>0</v>
      </c>
      <c r="BC314" s="1202">
        <v>0</v>
      </c>
      <c r="BD314" s="1202">
        <v>0</v>
      </c>
      <c r="BE314" s="1202">
        <v>0</v>
      </c>
      <c r="BF314" s="1202">
        <v>0</v>
      </c>
      <c r="BG314" s="1202">
        <v>0</v>
      </c>
      <c r="BH314" s="1202">
        <v>0</v>
      </c>
      <c r="BI314" s="1202">
        <v>0</v>
      </c>
      <c r="BJ314" s="1202">
        <v>0</v>
      </c>
      <c r="BK314" s="1202">
        <v>0</v>
      </c>
      <c r="BL314" s="1202">
        <v>0</v>
      </c>
      <c r="BM314" s="1202">
        <v>0</v>
      </c>
      <c r="BN314" s="1202">
        <v>0</v>
      </c>
      <c r="BO314" s="1202">
        <v>0</v>
      </c>
      <c r="BP314" s="1202">
        <v>0</v>
      </c>
      <c r="BQ314" s="1202">
        <v>0</v>
      </c>
      <c r="BR314" s="1202">
        <v>0</v>
      </c>
      <c r="BS314" s="1202">
        <v>0</v>
      </c>
      <c r="BT314" s="1202">
        <v>0</v>
      </c>
      <c r="BU314" s="1202">
        <v>0</v>
      </c>
      <c r="BV314" s="1202">
        <v>0</v>
      </c>
      <c r="BW314" s="1202">
        <v>0</v>
      </c>
      <c r="BX314" s="1202">
        <v>0</v>
      </c>
      <c r="BY314" s="1202">
        <v>0</v>
      </c>
      <c r="BZ314" s="1202">
        <v>0</v>
      </c>
      <c r="CA314" s="1202">
        <v>0</v>
      </c>
      <c r="CB314" s="1202">
        <v>0</v>
      </c>
    </row>
    <row r="315" spans="1:80" s="1156" customFormat="1" ht="28.8" x14ac:dyDescent="0.3">
      <c r="A315" s="1152">
        <v>662</v>
      </c>
      <c r="B315" s="1152">
        <v>662</v>
      </c>
      <c r="C315" s="1205" t="s">
        <v>941</v>
      </c>
      <c r="D315" s="1153"/>
      <c r="E315" s="1200">
        <v>0</v>
      </c>
      <c r="F315" s="1201">
        <v>0</v>
      </c>
      <c r="G315" s="1201">
        <v>0</v>
      </c>
      <c r="H315" s="1201">
        <v>0</v>
      </c>
      <c r="I315" s="1201">
        <v>0</v>
      </c>
      <c r="J315" s="1201">
        <v>0</v>
      </c>
      <c r="K315" s="1201">
        <v>0</v>
      </c>
      <c r="L315" s="1202">
        <v>0</v>
      </c>
      <c r="M315" s="1202">
        <v>0</v>
      </c>
      <c r="N315" s="1202">
        <v>0</v>
      </c>
      <c r="O315" s="1202">
        <v>0</v>
      </c>
      <c r="P315" s="1202">
        <v>0</v>
      </c>
      <c r="Q315" s="1202">
        <v>0</v>
      </c>
      <c r="R315" s="1202">
        <v>0</v>
      </c>
      <c r="S315" s="1202">
        <v>0</v>
      </c>
      <c r="T315" s="1202">
        <v>0</v>
      </c>
      <c r="U315" s="1202">
        <v>0</v>
      </c>
      <c r="V315" s="1202">
        <v>0</v>
      </c>
      <c r="W315" s="1202">
        <v>0</v>
      </c>
      <c r="X315" s="1202">
        <v>0</v>
      </c>
      <c r="Y315" s="1202">
        <v>12515</v>
      </c>
      <c r="Z315" s="1202">
        <v>0</v>
      </c>
      <c r="AA315" s="1202">
        <v>0</v>
      </c>
      <c r="AB315" s="1202">
        <v>0</v>
      </c>
      <c r="AC315" s="1202">
        <v>0</v>
      </c>
      <c r="AD315" s="1202">
        <v>0</v>
      </c>
      <c r="AE315" s="1202">
        <v>0</v>
      </c>
      <c r="AF315" s="1202">
        <v>0</v>
      </c>
      <c r="AG315" s="1202">
        <v>0</v>
      </c>
      <c r="AH315" s="1202">
        <v>0</v>
      </c>
      <c r="AI315" s="1202">
        <v>0</v>
      </c>
      <c r="AJ315" s="1202">
        <v>0</v>
      </c>
      <c r="AK315" s="1202">
        <v>0</v>
      </c>
      <c r="AL315" s="1202">
        <v>0</v>
      </c>
      <c r="AM315" s="1202">
        <v>0</v>
      </c>
      <c r="AN315" s="1202">
        <v>0</v>
      </c>
      <c r="AO315" s="1202">
        <v>18058</v>
      </c>
      <c r="AP315" s="1202">
        <v>0</v>
      </c>
      <c r="AQ315" s="1202">
        <v>0</v>
      </c>
      <c r="AR315" s="1202">
        <v>90388</v>
      </c>
      <c r="AS315" s="1202">
        <v>0</v>
      </c>
      <c r="AT315" s="1202">
        <v>0</v>
      </c>
      <c r="AU315" s="1202">
        <v>0</v>
      </c>
      <c r="AV315" s="1202">
        <v>830367</v>
      </c>
      <c r="AW315" s="1202">
        <v>0</v>
      </c>
      <c r="AX315" s="1202">
        <v>0</v>
      </c>
      <c r="AY315" s="1202">
        <v>0</v>
      </c>
      <c r="AZ315" s="1202">
        <v>0</v>
      </c>
      <c r="BA315" s="1202">
        <v>0</v>
      </c>
      <c r="BB315" s="1202">
        <v>0</v>
      </c>
      <c r="BC315" s="1202">
        <v>0</v>
      </c>
      <c r="BD315" s="1202">
        <v>0</v>
      </c>
      <c r="BE315" s="1202">
        <v>0</v>
      </c>
      <c r="BF315" s="1202">
        <v>0</v>
      </c>
      <c r="BG315" s="1202">
        <v>0</v>
      </c>
      <c r="BH315" s="1202">
        <v>0</v>
      </c>
      <c r="BI315" s="1202">
        <v>0</v>
      </c>
      <c r="BJ315" s="1202">
        <v>0</v>
      </c>
      <c r="BK315" s="1202">
        <v>0</v>
      </c>
      <c r="BL315" s="1202">
        <v>0</v>
      </c>
      <c r="BM315" s="1202">
        <v>0</v>
      </c>
      <c r="BN315" s="1202">
        <v>0</v>
      </c>
      <c r="BO315" s="1202">
        <v>0</v>
      </c>
      <c r="BP315" s="1202">
        <v>0</v>
      </c>
      <c r="BQ315" s="1202">
        <v>0</v>
      </c>
      <c r="BR315" s="1202">
        <v>0</v>
      </c>
      <c r="BS315" s="1202">
        <v>0</v>
      </c>
      <c r="BT315" s="1202">
        <v>184000</v>
      </c>
      <c r="BU315" s="1202">
        <v>0</v>
      </c>
      <c r="BV315" s="1202">
        <v>0</v>
      </c>
      <c r="BW315" s="1202">
        <v>0</v>
      </c>
      <c r="BX315" s="1202">
        <v>0</v>
      </c>
      <c r="BY315" s="1202">
        <v>0</v>
      </c>
      <c r="BZ315" s="1202">
        <v>0</v>
      </c>
      <c r="CA315" s="1202">
        <v>54610</v>
      </c>
      <c r="CB315" s="1202">
        <v>0</v>
      </c>
    </row>
    <row r="316" spans="1:80" s="1156" customFormat="1" x14ac:dyDescent="0.3">
      <c r="A316" s="1152">
        <v>663</v>
      </c>
      <c r="B316" s="1152">
        <v>663</v>
      </c>
      <c r="C316" s="1205" t="s">
        <v>942</v>
      </c>
      <c r="D316" s="1153"/>
      <c r="E316" s="1200">
        <v>0</v>
      </c>
      <c r="F316" s="1201">
        <v>0</v>
      </c>
      <c r="G316" s="1201">
        <v>0</v>
      </c>
      <c r="H316" s="1201">
        <v>0</v>
      </c>
      <c r="I316" s="1201">
        <v>0</v>
      </c>
      <c r="J316" s="1201">
        <v>0</v>
      </c>
      <c r="K316" s="1201">
        <v>0</v>
      </c>
      <c r="L316" s="1202">
        <v>0</v>
      </c>
      <c r="M316" s="1202">
        <v>0</v>
      </c>
      <c r="N316" s="1202">
        <v>0</v>
      </c>
      <c r="O316" s="1202">
        <v>0</v>
      </c>
      <c r="P316" s="1202">
        <v>0</v>
      </c>
      <c r="Q316" s="1202">
        <v>0</v>
      </c>
      <c r="R316" s="1202">
        <v>0</v>
      </c>
      <c r="S316" s="1202">
        <v>0</v>
      </c>
      <c r="T316" s="1202">
        <v>0</v>
      </c>
      <c r="U316" s="1202">
        <v>0</v>
      </c>
      <c r="V316" s="1202">
        <v>0</v>
      </c>
      <c r="W316" s="1202">
        <v>0</v>
      </c>
      <c r="X316" s="1202">
        <v>0</v>
      </c>
      <c r="Y316" s="1202">
        <v>0</v>
      </c>
      <c r="Z316" s="1202">
        <v>0</v>
      </c>
      <c r="AA316" s="1202">
        <v>0</v>
      </c>
      <c r="AB316" s="1202">
        <v>0</v>
      </c>
      <c r="AC316" s="1202">
        <v>0</v>
      </c>
      <c r="AD316" s="1202">
        <v>0</v>
      </c>
      <c r="AE316" s="1202">
        <v>0</v>
      </c>
      <c r="AF316" s="1202">
        <v>0</v>
      </c>
      <c r="AG316" s="1202">
        <v>0</v>
      </c>
      <c r="AH316" s="1202">
        <v>0</v>
      </c>
      <c r="AI316" s="1202">
        <v>0</v>
      </c>
      <c r="AJ316" s="1202">
        <v>0</v>
      </c>
      <c r="AK316" s="1202">
        <v>0</v>
      </c>
      <c r="AL316" s="1202">
        <v>0</v>
      </c>
      <c r="AM316" s="1202">
        <v>0</v>
      </c>
      <c r="AN316" s="1202">
        <v>0</v>
      </c>
      <c r="AO316" s="1202">
        <v>0</v>
      </c>
      <c r="AP316" s="1202">
        <v>0</v>
      </c>
      <c r="AQ316" s="1202">
        <v>0</v>
      </c>
      <c r="AR316" s="1202">
        <v>0</v>
      </c>
      <c r="AS316" s="1202">
        <v>0</v>
      </c>
      <c r="AT316" s="1202">
        <v>0</v>
      </c>
      <c r="AU316" s="1202">
        <v>0</v>
      </c>
      <c r="AV316" s="1202">
        <v>0</v>
      </c>
      <c r="AW316" s="1202">
        <v>0</v>
      </c>
      <c r="AX316" s="1202">
        <v>0</v>
      </c>
      <c r="AY316" s="1202">
        <v>0</v>
      </c>
      <c r="AZ316" s="1202">
        <v>0</v>
      </c>
      <c r="BA316" s="1202">
        <v>0</v>
      </c>
      <c r="BB316" s="1202">
        <v>0</v>
      </c>
      <c r="BC316" s="1202">
        <v>0</v>
      </c>
      <c r="BD316" s="1202">
        <v>0</v>
      </c>
      <c r="BE316" s="1202">
        <v>0</v>
      </c>
      <c r="BF316" s="1202">
        <v>0</v>
      </c>
      <c r="BG316" s="1202">
        <v>0</v>
      </c>
      <c r="BH316" s="1202">
        <v>0</v>
      </c>
      <c r="BI316" s="1202">
        <v>0</v>
      </c>
      <c r="BJ316" s="1202">
        <v>0</v>
      </c>
      <c r="BK316" s="1202">
        <v>0</v>
      </c>
      <c r="BL316" s="1202">
        <v>0</v>
      </c>
      <c r="BM316" s="1202">
        <v>0</v>
      </c>
      <c r="BN316" s="1202">
        <v>0</v>
      </c>
      <c r="BO316" s="1202">
        <v>0</v>
      </c>
      <c r="BP316" s="1202">
        <v>0</v>
      </c>
      <c r="BQ316" s="1202">
        <v>0</v>
      </c>
      <c r="BR316" s="1202">
        <v>0</v>
      </c>
      <c r="BS316" s="1202">
        <v>0</v>
      </c>
      <c r="BT316" s="1202">
        <v>0</v>
      </c>
      <c r="BU316" s="1202">
        <v>0</v>
      </c>
      <c r="BV316" s="1202">
        <v>0</v>
      </c>
      <c r="BW316" s="1202">
        <v>0</v>
      </c>
      <c r="BX316" s="1202">
        <v>0</v>
      </c>
      <c r="BY316" s="1202">
        <v>0</v>
      </c>
      <c r="BZ316" s="1202">
        <v>0</v>
      </c>
      <c r="CA316" s="1202">
        <v>0</v>
      </c>
      <c r="CB316" s="1202">
        <v>0</v>
      </c>
    </row>
    <row r="317" spans="1:80" s="1156" customFormat="1" x14ac:dyDescent="0.3">
      <c r="A317" s="1152">
        <v>906</v>
      </c>
      <c r="B317" s="1152" t="s">
        <v>1801</v>
      </c>
      <c r="C317" s="1205" t="s">
        <v>994</v>
      </c>
      <c r="D317" s="1153"/>
      <c r="E317" s="1200">
        <v>1</v>
      </c>
      <c r="F317" s="1201">
        <v>1</v>
      </c>
      <c r="G317" s="1201">
        <v>0</v>
      </c>
      <c r="H317" s="1201">
        <v>1</v>
      </c>
      <c r="I317" s="1201">
        <v>1</v>
      </c>
      <c r="J317" s="1201">
        <v>1</v>
      </c>
      <c r="K317" s="1201">
        <v>1</v>
      </c>
      <c r="L317" s="1202">
        <v>1</v>
      </c>
      <c r="M317" s="1202">
        <v>1</v>
      </c>
      <c r="N317" s="1202">
        <v>1</v>
      </c>
      <c r="O317" s="1202">
        <v>1</v>
      </c>
      <c r="P317" s="1202">
        <v>1</v>
      </c>
      <c r="Q317" s="1202">
        <v>1</v>
      </c>
      <c r="R317" s="1202">
        <v>1</v>
      </c>
      <c r="S317" s="1202">
        <v>1</v>
      </c>
      <c r="T317" s="1202">
        <v>1</v>
      </c>
      <c r="U317" s="1202">
        <v>0</v>
      </c>
      <c r="V317" s="1202">
        <v>1</v>
      </c>
      <c r="W317" s="1202">
        <v>1</v>
      </c>
      <c r="X317" s="1202">
        <v>1</v>
      </c>
      <c r="Y317" s="1202">
        <v>1</v>
      </c>
      <c r="Z317" s="1202">
        <v>1</v>
      </c>
      <c r="AA317" s="1202">
        <v>1</v>
      </c>
      <c r="AB317" s="1202">
        <v>1</v>
      </c>
      <c r="AC317" s="1202">
        <v>1</v>
      </c>
      <c r="AD317" s="1202">
        <v>1</v>
      </c>
      <c r="AE317" s="1202">
        <v>1</v>
      </c>
      <c r="AF317" s="1202">
        <v>1</v>
      </c>
      <c r="AG317" s="1202">
        <v>1</v>
      </c>
      <c r="AH317" s="1202">
        <v>1</v>
      </c>
      <c r="AI317" s="1202">
        <v>1</v>
      </c>
      <c r="AJ317" s="1202">
        <v>1</v>
      </c>
      <c r="AK317" s="1202">
        <v>1</v>
      </c>
      <c r="AL317" s="1202">
        <v>1</v>
      </c>
      <c r="AM317" s="1202">
        <v>1</v>
      </c>
      <c r="AN317" s="1202">
        <v>1</v>
      </c>
      <c r="AO317" s="1202">
        <v>1</v>
      </c>
      <c r="AP317" s="1202">
        <v>1</v>
      </c>
      <c r="AQ317" s="1202">
        <v>1</v>
      </c>
      <c r="AR317" s="1202">
        <v>1</v>
      </c>
      <c r="AS317" s="1202">
        <v>1</v>
      </c>
      <c r="AT317" s="1202">
        <v>1</v>
      </c>
      <c r="AU317" s="1202">
        <v>1</v>
      </c>
      <c r="AV317" s="1202">
        <v>1</v>
      </c>
      <c r="AW317" s="1202">
        <v>1</v>
      </c>
      <c r="AX317" s="1202">
        <v>1</v>
      </c>
      <c r="AY317" s="1202">
        <v>1</v>
      </c>
      <c r="AZ317" s="1202">
        <v>1</v>
      </c>
      <c r="BA317" s="1202">
        <v>1</v>
      </c>
      <c r="BB317" s="1202">
        <v>1</v>
      </c>
      <c r="BC317" s="1202">
        <v>1</v>
      </c>
      <c r="BD317" s="1202">
        <v>0</v>
      </c>
      <c r="BE317" s="1202">
        <v>1</v>
      </c>
      <c r="BF317" s="1202">
        <v>1</v>
      </c>
      <c r="BG317" s="1202">
        <v>0</v>
      </c>
      <c r="BH317" s="1202">
        <v>1</v>
      </c>
      <c r="BI317" s="1202">
        <v>1</v>
      </c>
      <c r="BJ317" s="1202">
        <v>1</v>
      </c>
      <c r="BK317" s="1202">
        <v>1</v>
      </c>
      <c r="BL317" s="1202">
        <v>1</v>
      </c>
      <c r="BM317" s="1202">
        <v>1</v>
      </c>
      <c r="BN317" s="1202">
        <v>1</v>
      </c>
      <c r="BO317" s="1202">
        <v>1</v>
      </c>
      <c r="BP317" s="1202">
        <v>1</v>
      </c>
      <c r="BQ317" s="1202">
        <v>1</v>
      </c>
      <c r="BR317" s="1202">
        <v>1</v>
      </c>
      <c r="BS317" s="1202">
        <v>1</v>
      </c>
      <c r="BT317" s="1202">
        <v>1</v>
      </c>
      <c r="BU317" s="1202">
        <v>1</v>
      </c>
      <c r="BV317" s="1202">
        <v>1</v>
      </c>
      <c r="BW317" s="1202">
        <v>1</v>
      </c>
      <c r="BX317" s="1202">
        <v>1</v>
      </c>
      <c r="BY317" s="1202">
        <v>1</v>
      </c>
      <c r="BZ317" s="1202">
        <v>1</v>
      </c>
      <c r="CA317" s="1202">
        <v>1</v>
      </c>
      <c r="CB317" s="1202">
        <v>1</v>
      </c>
    </row>
    <row r="318" spans="1:80" s="1156" customFormat="1" x14ac:dyDescent="0.3">
      <c r="A318" s="1152">
        <v>907</v>
      </c>
      <c r="B318" s="1152" t="s">
        <v>1801</v>
      </c>
      <c r="C318" s="1205" t="s">
        <v>995</v>
      </c>
      <c r="D318" s="1153"/>
      <c r="E318" s="1200">
        <v>2</v>
      </c>
      <c r="F318" s="1201">
        <v>2</v>
      </c>
      <c r="G318" s="1201">
        <v>0</v>
      </c>
      <c r="H318" s="1201">
        <v>2</v>
      </c>
      <c r="I318" s="1201">
        <v>2</v>
      </c>
      <c r="J318" s="1201">
        <v>1</v>
      </c>
      <c r="K318" s="1201">
        <v>2</v>
      </c>
      <c r="L318" s="1202">
        <v>2</v>
      </c>
      <c r="M318" s="1202">
        <v>2</v>
      </c>
      <c r="N318" s="1202">
        <v>1</v>
      </c>
      <c r="O318" s="1202">
        <v>1</v>
      </c>
      <c r="P318" s="1202">
        <v>2</v>
      </c>
      <c r="Q318" s="1202">
        <v>2</v>
      </c>
      <c r="R318" s="1202">
        <v>2</v>
      </c>
      <c r="S318" s="1202">
        <v>2</v>
      </c>
      <c r="T318" s="1202">
        <v>2</v>
      </c>
      <c r="U318" s="1202">
        <v>0</v>
      </c>
      <c r="V318" s="1202">
        <v>2</v>
      </c>
      <c r="W318" s="1202">
        <v>2</v>
      </c>
      <c r="X318" s="1202">
        <v>2</v>
      </c>
      <c r="Y318" s="1202">
        <v>2</v>
      </c>
      <c r="Z318" s="1202">
        <v>2</v>
      </c>
      <c r="AA318" s="1202">
        <v>2</v>
      </c>
      <c r="AB318" s="1202">
        <v>1</v>
      </c>
      <c r="AC318" s="1202">
        <v>2</v>
      </c>
      <c r="AD318" s="1202">
        <v>2</v>
      </c>
      <c r="AE318" s="1202">
        <v>1</v>
      </c>
      <c r="AF318" s="1202">
        <v>2</v>
      </c>
      <c r="AG318" s="1202">
        <v>1</v>
      </c>
      <c r="AH318" s="1202">
        <v>1</v>
      </c>
      <c r="AI318" s="1202">
        <v>1</v>
      </c>
      <c r="AJ318" s="1202">
        <v>2</v>
      </c>
      <c r="AK318" s="1202">
        <v>2</v>
      </c>
      <c r="AL318" s="1202">
        <v>1</v>
      </c>
      <c r="AM318" s="1202">
        <v>2</v>
      </c>
      <c r="AN318" s="1202">
        <v>2</v>
      </c>
      <c r="AO318" s="1202">
        <v>2</v>
      </c>
      <c r="AP318" s="1202">
        <v>2</v>
      </c>
      <c r="AQ318" s="1202">
        <v>2</v>
      </c>
      <c r="AR318" s="1202">
        <v>2</v>
      </c>
      <c r="AS318" s="1202">
        <v>2</v>
      </c>
      <c r="AT318" s="1202">
        <v>1</v>
      </c>
      <c r="AU318" s="1202">
        <v>1</v>
      </c>
      <c r="AV318" s="1202">
        <v>2</v>
      </c>
      <c r="AW318" s="1202">
        <v>1</v>
      </c>
      <c r="AX318" s="1202">
        <v>2</v>
      </c>
      <c r="AY318" s="1202">
        <v>2</v>
      </c>
      <c r="AZ318" s="1202">
        <v>1</v>
      </c>
      <c r="BA318" s="1202">
        <v>2</v>
      </c>
      <c r="BB318" s="1202">
        <v>1</v>
      </c>
      <c r="BC318" s="1202">
        <v>1</v>
      </c>
      <c r="BD318" s="1202">
        <v>0</v>
      </c>
      <c r="BE318" s="1202">
        <v>1</v>
      </c>
      <c r="BF318" s="1202">
        <v>2</v>
      </c>
      <c r="BG318" s="1202">
        <v>0</v>
      </c>
      <c r="BH318" s="1202">
        <v>1</v>
      </c>
      <c r="BI318" s="1202">
        <v>2</v>
      </c>
      <c r="BJ318" s="1202">
        <v>1</v>
      </c>
      <c r="BK318" s="1202">
        <v>1</v>
      </c>
      <c r="BL318" s="1202">
        <v>2</v>
      </c>
      <c r="BM318" s="1202">
        <v>1</v>
      </c>
      <c r="BN318" s="1202">
        <v>1</v>
      </c>
      <c r="BO318" s="1202">
        <v>2</v>
      </c>
      <c r="BP318" s="1202">
        <v>1</v>
      </c>
      <c r="BQ318" s="1202">
        <v>1</v>
      </c>
      <c r="BR318" s="1202">
        <v>2</v>
      </c>
      <c r="BS318" s="1202">
        <v>1</v>
      </c>
      <c r="BT318" s="1202">
        <v>2</v>
      </c>
      <c r="BU318" s="1202">
        <v>2</v>
      </c>
      <c r="BV318" s="1202">
        <v>1</v>
      </c>
      <c r="BW318" s="1202">
        <v>1</v>
      </c>
      <c r="BX318" s="1202">
        <v>1</v>
      </c>
      <c r="BY318" s="1202">
        <v>1</v>
      </c>
      <c r="BZ318" s="1202">
        <v>2</v>
      </c>
      <c r="CA318" s="1202">
        <v>2</v>
      </c>
      <c r="CB318" s="1202">
        <v>2</v>
      </c>
    </row>
    <row r="319" spans="1:80" s="1156" customFormat="1" ht="28.8" x14ac:dyDescent="0.3">
      <c r="A319" s="1152">
        <v>951</v>
      </c>
      <c r="B319" s="1152" t="s">
        <v>1801</v>
      </c>
      <c r="C319" s="1205" t="s">
        <v>996</v>
      </c>
      <c r="D319" s="1153"/>
      <c r="E319" s="1200">
        <v>2</v>
      </c>
      <c r="F319" s="1201">
        <v>2</v>
      </c>
      <c r="G319" s="1201">
        <v>0</v>
      </c>
      <c r="H319" s="1201">
        <v>2</v>
      </c>
      <c r="I319" s="1201">
        <v>2</v>
      </c>
      <c r="J319" s="1201">
        <v>2</v>
      </c>
      <c r="K319" s="1201">
        <v>2</v>
      </c>
      <c r="L319" s="1202">
        <v>2</v>
      </c>
      <c r="M319" s="1202">
        <v>2</v>
      </c>
      <c r="N319" s="1202">
        <v>1</v>
      </c>
      <c r="O319" s="1202">
        <v>2</v>
      </c>
      <c r="P319" s="1202">
        <v>2</v>
      </c>
      <c r="Q319" s="1202">
        <v>2</v>
      </c>
      <c r="R319" s="1202">
        <v>2</v>
      </c>
      <c r="S319" s="1202">
        <v>2</v>
      </c>
      <c r="T319" s="1202">
        <v>2</v>
      </c>
      <c r="U319" s="1202">
        <v>0</v>
      </c>
      <c r="V319" s="1202">
        <v>2</v>
      </c>
      <c r="W319" s="1202">
        <v>2</v>
      </c>
      <c r="X319" s="1202">
        <v>2</v>
      </c>
      <c r="Y319" s="1202">
        <v>2</v>
      </c>
      <c r="Z319" s="1202">
        <v>2</v>
      </c>
      <c r="AA319" s="1202">
        <v>2</v>
      </c>
      <c r="AB319" s="1202">
        <v>2</v>
      </c>
      <c r="AC319" s="1202">
        <v>2</v>
      </c>
      <c r="AD319" s="1202">
        <v>2</v>
      </c>
      <c r="AE319" s="1202">
        <v>1</v>
      </c>
      <c r="AF319" s="1202">
        <v>2</v>
      </c>
      <c r="AG319" s="1202">
        <v>2</v>
      </c>
      <c r="AH319" s="1202">
        <v>1</v>
      </c>
      <c r="AI319" s="1202">
        <v>2</v>
      </c>
      <c r="AJ319" s="1202">
        <v>2</v>
      </c>
      <c r="AK319" s="1202">
        <v>2</v>
      </c>
      <c r="AL319" s="1202">
        <v>2</v>
      </c>
      <c r="AM319" s="1202">
        <v>1</v>
      </c>
      <c r="AN319" s="1202">
        <v>2</v>
      </c>
      <c r="AO319" s="1202">
        <v>2</v>
      </c>
      <c r="AP319" s="1202">
        <v>2</v>
      </c>
      <c r="AQ319" s="1202">
        <v>2</v>
      </c>
      <c r="AR319" s="1202">
        <v>2</v>
      </c>
      <c r="AS319" s="1202">
        <v>2</v>
      </c>
      <c r="AT319" s="1202">
        <v>1</v>
      </c>
      <c r="AU319" s="1202">
        <v>1</v>
      </c>
      <c r="AV319" s="1202">
        <v>2</v>
      </c>
      <c r="AW319" s="1202">
        <v>2</v>
      </c>
      <c r="AX319" s="1202">
        <v>2</v>
      </c>
      <c r="AY319" s="1202">
        <v>2</v>
      </c>
      <c r="AZ319" s="1202">
        <v>2</v>
      </c>
      <c r="BA319" s="1202">
        <v>2</v>
      </c>
      <c r="BB319" s="1202">
        <v>1</v>
      </c>
      <c r="BC319" s="1202">
        <v>2</v>
      </c>
      <c r="BD319" s="1202">
        <v>0</v>
      </c>
      <c r="BE319" s="1202">
        <v>2</v>
      </c>
      <c r="BF319" s="1202">
        <v>2</v>
      </c>
      <c r="BG319" s="1202">
        <v>0</v>
      </c>
      <c r="BH319" s="1202">
        <v>2</v>
      </c>
      <c r="BI319" s="1202">
        <v>2</v>
      </c>
      <c r="BJ319" s="1202">
        <v>2</v>
      </c>
      <c r="BK319" s="1202">
        <v>2</v>
      </c>
      <c r="BL319" s="1202">
        <v>2</v>
      </c>
      <c r="BM319" s="1202">
        <v>2</v>
      </c>
      <c r="BN319" s="1202">
        <v>2</v>
      </c>
      <c r="BO319" s="1202">
        <v>2</v>
      </c>
      <c r="BP319" s="1202">
        <v>2</v>
      </c>
      <c r="BQ319" s="1202">
        <v>2</v>
      </c>
      <c r="BR319" s="1202">
        <v>2</v>
      </c>
      <c r="BS319" s="1202">
        <v>2</v>
      </c>
      <c r="BT319" s="1202">
        <v>2</v>
      </c>
      <c r="BU319" s="1202">
        <v>2</v>
      </c>
      <c r="BV319" s="1202">
        <v>2</v>
      </c>
      <c r="BW319" s="1202">
        <v>2</v>
      </c>
      <c r="BX319" s="1202">
        <v>2</v>
      </c>
      <c r="BY319" s="1202">
        <v>2</v>
      </c>
      <c r="BZ319" s="1202">
        <v>2</v>
      </c>
      <c r="CA319" s="1202">
        <v>2</v>
      </c>
      <c r="CB319" s="1202">
        <v>2</v>
      </c>
    </row>
    <row r="320" spans="1:80" s="1156" customFormat="1" x14ac:dyDescent="0.3">
      <c r="A320" s="1152">
        <v>953</v>
      </c>
      <c r="B320" s="1152" t="s">
        <v>1801</v>
      </c>
      <c r="C320" s="1205" t="s">
        <v>997</v>
      </c>
      <c r="D320" s="1153"/>
      <c r="E320" s="1200">
        <v>2</v>
      </c>
      <c r="F320" s="1201">
        <v>2</v>
      </c>
      <c r="G320" s="1201">
        <v>0</v>
      </c>
      <c r="H320" s="1201">
        <v>2</v>
      </c>
      <c r="I320" s="1201">
        <v>2</v>
      </c>
      <c r="J320" s="1201">
        <v>2</v>
      </c>
      <c r="K320" s="1201">
        <v>2</v>
      </c>
      <c r="L320" s="1202">
        <v>2</v>
      </c>
      <c r="M320" s="1202">
        <v>2</v>
      </c>
      <c r="N320" s="1202">
        <v>2</v>
      </c>
      <c r="O320" s="1202">
        <v>2</v>
      </c>
      <c r="P320" s="1202">
        <v>2</v>
      </c>
      <c r="Q320" s="1202">
        <v>2</v>
      </c>
      <c r="R320" s="1202">
        <v>2</v>
      </c>
      <c r="S320" s="1202">
        <v>2</v>
      </c>
      <c r="T320" s="1202">
        <v>2</v>
      </c>
      <c r="U320" s="1202">
        <v>0</v>
      </c>
      <c r="V320" s="1202">
        <v>2</v>
      </c>
      <c r="W320" s="1202">
        <v>2</v>
      </c>
      <c r="X320" s="1202">
        <v>2</v>
      </c>
      <c r="Y320" s="1202">
        <v>2</v>
      </c>
      <c r="Z320" s="1202">
        <v>2</v>
      </c>
      <c r="AA320" s="1202">
        <v>2</v>
      </c>
      <c r="AB320" s="1202">
        <v>2</v>
      </c>
      <c r="AC320" s="1202">
        <v>2</v>
      </c>
      <c r="AD320" s="1202">
        <v>2</v>
      </c>
      <c r="AE320" s="1202">
        <v>2</v>
      </c>
      <c r="AF320" s="1202">
        <v>2</v>
      </c>
      <c r="AG320" s="1202">
        <v>2</v>
      </c>
      <c r="AH320" s="1202">
        <v>2</v>
      </c>
      <c r="AI320" s="1202">
        <v>2</v>
      </c>
      <c r="AJ320" s="1202">
        <v>2</v>
      </c>
      <c r="AK320" s="1202">
        <v>2</v>
      </c>
      <c r="AL320" s="1202">
        <v>2</v>
      </c>
      <c r="AM320" s="1202">
        <v>2</v>
      </c>
      <c r="AN320" s="1202">
        <v>2</v>
      </c>
      <c r="AO320" s="1202">
        <v>2</v>
      </c>
      <c r="AP320" s="1202">
        <v>2</v>
      </c>
      <c r="AQ320" s="1202">
        <v>2</v>
      </c>
      <c r="AR320" s="1202">
        <v>2</v>
      </c>
      <c r="AS320" s="1202">
        <v>2</v>
      </c>
      <c r="AT320" s="1202">
        <v>2</v>
      </c>
      <c r="AU320" s="1202">
        <v>2</v>
      </c>
      <c r="AV320" s="1202">
        <v>2</v>
      </c>
      <c r="AW320" s="1202">
        <v>2</v>
      </c>
      <c r="AX320" s="1202">
        <v>2</v>
      </c>
      <c r="AY320" s="1202">
        <v>2</v>
      </c>
      <c r="AZ320" s="1202">
        <v>2</v>
      </c>
      <c r="BA320" s="1202">
        <v>2</v>
      </c>
      <c r="BB320" s="1202">
        <v>2</v>
      </c>
      <c r="BC320" s="1202">
        <v>2</v>
      </c>
      <c r="BD320" s="1202">
        <v>0</v>
      </c>
      <c r="BE320" s="1202">
        <v>2</v>
      </c>
      <c r="BF320" s="1202">
        <v>2</v>
      </c>
      <c r="BG320" s="1202">
        <v>0</v>
      </c>
      <c r="BH320" s="1202">
        <v>2</v>
      </c>
      <c r="BI320" s="1202">
        <v>2</v>
      </c>
      <c r="BJ320" s="1202">
        <v>2</v>
      </c>
      <c r="BK320" s="1202">
        <v>2</v>
      </c>
      <c r="BL320" s="1202">
        <v>2</v>
      </c>
      <c r="BM320" s="1202">
        <v>2</v>
      </c>
      <c r="BN320" s="1202">
        <v>2</v>
      </c>
      <c r="BO320" s="1202">
        <v>2</v>
      </c>
      <c r="BP320" s="1202">
        <v>2</v>
      </c>
      <c r="BQ320" s="1202">
        <v>2</v>
      </c>
      <c r="BR320" s="1202">
        <v>2</v>
      </c>
      <c r="BS320" s="1202">
        <v>2</v>
      </c>
      <c r="BT320" s="1202">
        <v>2</v>
      </c>
      <c r="BU320" s="1202">
        <v>2</v>
      </c>
      <c r="BV320" s="1202">
        <v>2</v>
      </c>
      <c r="BW320" s="1202">
        <v>2</v>
      </c>
      <c r="BX320" s="1202">
        <v>2</v>
      </c>
      <c r="BY320" s="1202">
        <v>2</v>
      </c>
      <c r="BZ320" s="1202">
        <v>2</v>
      </c>
      <c r="CA320" s="1202">
        <v>2</v>
      </c>
      <c r="CB320" s="1202">
        <v>2</v>
      </c>
    </row>
    <row r="321" spans="1:80" s="1156" customFormat="1" ht="28.8" x14ac:dyDescent="0.3">
      <c r="A321" s="1152">
        <v>955</v>
      </c>
      <c r="B321" s="1152" t="s">
        <v>1801</v>
      </c>
      <c r="C321" s="1205" t="s">
        <v>1007</v>
      </c>
      <c r="D321" s="1153"/>
      <c r="E321" s="1200">
        <v>0</v>
      </c>
      <c r="F321" s="1201">
        <v>0</v>
      </c>
      <c r="G321" s="1201">
        <v>0</v>
      </c>
      <c r="H321" s="1201">
        <v>0</v>
      </c>
      <c r="I321" s="1201">
        <v>0</v>
      </c>
      <c r="J321" s="1201">
        <v>3</v>
      </c>
      <c r="K321" s="1201">
        <v>0</v>
      </c>
      <c r="L321" s="1202">
        <v>0</v>
      </c>
      <c r="M321" s="1202">
        <v>0</v>
      </c>
      <c r="N321" s="1202">
        <v>0</v>
      </c>
      <c r="O321" s="1202">
        <v>0</v>
      </c>
      <c r="P321" s="1202">
        <v>1</v>
      </c>
      <c r="Q321" s="1202">
        <v>0</v>
      </c>
      <c r="R321" s="1202">
        <v>0</v>
      </c>
      <c r="S321" s="1202">
        <v>0</v>
      </c>
      <c r="T321" s="1202">
        <v>0</v>
      </c>
      <c r="U321" s="1202">
        <v>0</v>
      </c>
      <c r="V321" s="1202">
        <v>0</v>
      </c>
      <c r="W321" s="1202">
        <v>0</v>
      </c>
      <c r="X321" s="1202">
        <v>0</v>
      </c>
      <c r="Y321" s="1202">
        <v>0</v>
      </c>
      <c r="Z321" s="1202">
        <v>0</v>
      </c>
      <c r="AA321" s="1202">
        <v>0</v>
      </c>
      <c r="AB321" s="1202">
        <v>0</v>
      </c>
      <c r="AC321" s="1202">
        <v>0</v>
      </c>
      <c r="AD321" s="1202">
        <v>0</v>
      </c>
      <c r="AE321" s="1202">
        <v>0</v>
      </c>
      <c r="AF321" s="1202">
        <v>0</v>
      </c>
      <c r="AG321" s="1202">
        <v>2</v>
      </c>
      <c r="AH321" s="1202">
        <v>0</v>
      </c>
      <c r="AI321" s="1202">
        <v>0</v>
      </c>
      <c r="AJ321" s="1202">
        <v>0</v>
      </c>
      <c r="AK321" s="1202">
        <v>0</v>
      </c>
      <c r="AL321" s="1202">
        <v>0</v>
      </c>
      <c r="AM321" s="1202">
        <v>1</v>
      </c>
      <c r="AN321" s="1202">
        <v>0</v>
      </c>
      <c r="AO321" s="1202">
        <v>1</v>
      </c>
      <c r="AP321" s="1202">
        <v>0</v>
      </c>
      <c r="AQ321" s="1202">
        <v>0</v>
      </c>
      <c r="AR321" s="1202">
        <v>0</v>
      </c>
      <c r="AS321" s="1202">
        <v>1</v>
      </c>
      <c r="AT321" s="1202">
        <v>0</v>
      </c>
      <c r="AU321" s="1202">
        <v>0</v>
      </c>
      <c r="AV321" s="1202">
        <v>2</v>
      </c>
      <c r="AW321" s="1202">
        <v>0</v>
      </c>
      <c r="AX321" s="1202">
        <v>0</v>
      </c>
      <c r="AY321" s="1202">
        <v>0</v>
      </c>
      <c r="AZ321" s="1202">
        <v>0</v>
      </c>
      <c r="BA321" s="1202">
        <v>0</v>
      </c>
      <c r="BB321" s="1202">
        <v>0</v>
      </c>
      <c r="BC321" s="1202">
        <v>0</v>
      </c>
      <c r="BD321" s="1202">
        <v>0</v>
      </c>
      <c r="BE321" s="1202">
        <v>0</v>
      </c>
      <c r="BF321" s="1202">
        <v>0</v>
      </c>
      <c r="BG321" s="1202">
        <v>0</v>
      </c>
      <c r="BH321" s="1202">
        <v>0</v>
      </c>
      <c r="BI321" s="1202">
        <v>0</v>
      </c>
      <c r="BJ321" s="1202">
        <v>0</v>
      </c>
      <c r="BK321" s="1202">
        <v>4</v>
      </c>
      <c r="BL321" s="1202">
        <v>0</v>
      </c>
      <c r="BM321" s="1202">
        <v>0</v>
      </c>
      <c r="BN321" s="1202">
        <v>0</v>
      </c>
      <c r="BO321" s="1202">
        <v>0</v>
      </c>
      <c r="BP321" s="1202">
        <v>0</v>
      </c>
      <c r="BQ321" s="1202">
        <v>0</v>
      </c>
      <c r="BR321" s="1202">
        <v>0</v>
      </c>
      <c r="BS321" s="1202">
        <v>0</v>
      </c>
      <c r="BT321" s="1202">
        <v>0</v>
      </c>
      <c r="BU321" s="1202">
        <v>0</v>
      </c>
      <c r="BV321" s="1202">
        <v>1</v>
      </c>
      <c r="BW321" s="1202">
        <v>0</v>
      </c>
      <c r="BX321" s="1202">
        <v>0</v>
      </c>
      <c r="BY321" s="1202">
        <v>0</v>
      </c>
      <c r="BZ321" s="1202">
        <v>0</v>
      </c>
      <c r="CA321" s="1202">
        <v>0</v>
      </c>
      <c r="CB321" s="1202">
        <v>0</v>
      </c>
    </row>
    <row r="322" spans="1:80" s="1156" customFormat="1" ht="28.8" x14ac:dyDescent="0.3">
      <c r="A322" s="1152">
        <v>957</v>
      </c>
      <c r="B322" s="1152" t="s">
        <v>1801</v>
      </c>
      <c r="C322" s="1205" t="s">
        <v>1008</v>
      </c>
      <c r="D322" s="1153"/>
      <c r="E322" s="1200">
        <v>0</v>
      </c>
      <c r="F322" s="1201">
        <v>0</v>
      </c>
      <c r="G322" s="1201">
        <v>0</v>
      </c>
      <c r="H322" s="1201">
        <v>0</v>
      </c>
      <c r="I322" s="1201">
        <v>0</v>
      </c>
      <c r="J322" s="1201">
        <v>1</v>
      </c>
      <c r="K322" s="1201">
        <v>0</v>
      </c>
      <c r="L322" s="1202">
        <v>0</v>
      </c>
      <c r="M322" s="1202">
        <v>0</v>
      </c>
      <c r="N322" s="1202">
        <v>2</v>
      </c>
      <c r="O322" s="1202">
        <v>0</v>
      </c>
      <c r="P322" s="1202">
        <v>0</v>
      </c>
      <c r="Q322" s="1202">
        <v>0</v>
      </c>
      <c r="R322" s="1202">
        <v>0</v>
      </c>
      <c r="S322" s="1202">
        <v>0</v>
      </c>
      <c r="T322" s="1202">
        <v>0</v>
      </c>
      <c r="U322" s="1202">
        <v>0</v>
      </c>
      <c r="V322" s="1202">
        <v>0</v>
      </c>
      <c r="W322" s="1202">
        <v>0</v>
      </c>
      <c r="X322" s="1202">
        <v>0</v>
      </c>
      <c r="Y322" s="1202">
        <v>0</v>
      </c>
      <c r="Z322" s="1202">
        <v>0</v>
      </c>
      <c r="AA322" s="1202">
        <v>0</v>
      </c>
      <c r="AB322" s="1202">
        <v>2</v>
      </c>
      <c r="AC322" s="1202">
        <v>0</v>
      </c>
      <c r="AD322" s="1202">
        <v>0</v>
      </c>
      <c r="AE322" s="1202">
        <v>0</v>
      </c>
      <c r="AF322" s="1202">
        <v>0</v>
      </c>
      <c r="AG322" s="1202">
        <v>0</v>
      </c>
      <c r="AH322" s="1202">
        <v>0</v>
      </c>
      <c r="AI322" s="1202">
        <v>0</v>
      </c>
      <c r="AJ322" s="1202">
        <v>0</v>
      </c>
      <c r="AK322" s="1202">
        <v>0</v>
      </c>
      <c r="AL322" s="1202">
        <v>0</v>
      </c>
      <c r="AM322" s="1202">
        <v>0</v>
      </c>
      <c r="AN322" s="1202">
        <v>0</v>
      </c>
      <c r="AO322" s="1202">
        <v>0</v>
      </c>
      <c r="AP322" s="1202">
        <v>0</v>
      </c>
      <c r="AQ322" s="1202">
        <v>0</v>
      </c>
      <c r="AR322" s="1202">
        <v>0</v>
      </c>
      <c r="AS322" s="1202">
        <v>0</v>
      </c>
      <c r="AT322" s="1202">
        <v>0</v>
      </c>
      <c r="AU322" s="1202">
        <v>0</v>
      </c>
      <c r="AV322" s="1202">
        <v>0</v>
      </c>
      <c r="AW322" s="1202">
        <v>0</v>
      </c>
      <c r="AX322" s="1202">
        <v>0</v>
      </c>
      <c r="AY322" s="1202">
        <v>0</v>
      </c>
      <c r="AZ322" s="1202">
        <v>0</v>
      </c>
      <c r="BA322" s="1202">
        <v>0</v>
      </c>
      <c r="BB322" s="1202">
        <v>0</v>
      </c>
      <c r="BC322" s="1202">
        <v>0</v>
      </c>
      <c r="BD322" s="1202">
        <v>0</v>
      </c>
      <c r="BE322" s="1202">
        <v>0</v>
      </c>
      <c r="BF322" s="1202">
        <v>1</v>
      </c>
      <c r="BG322" s="1202">
        <v>0</v>
      </c>
      <c r="BH322" s="1202">
        <v>0</v>
      </c>
      <c r="BI322" s="1202">
        <v>0</v>
      </c>
      <c r="BJ322" s="1202">
        <v>0</v>
      </c>
      <c r="BK322" s="1202">
        <v>0</v>
      </c>
      <c r="BL322" s="1202">
        <v>0</v>
      </c>
      <c r="BM322" s="1202">
        <v>0</v>
      </c>
      <c r="BN322" s="1202">
        <v>0</v>
      </c>
      <c r="BO322" s="1202">
        <v>0</v>
      </c>
      <c r="BP322" s="1202">
        <v>0</v>
      </c>
      <c r="BQ322" s="1202">
        <v>0</v>
      </c>
      <c r="BR322" s="1202">
        <v>0</v>
      </c>
      <c r="BS322" s="1202">
        <v>0</v>
      </c>
      <c r="BT322" s="1202">
        <v>0</v>
      </c>
      <c r="BU322" s="1202">
        <v>0</v>
      </c>
      <c r="BV322" s="1202">
        <v>0</v>
      </c>
      <c r="BW322" s="1202">
        <v>2</v>
      </c>
      <c r="BX322" s="1202">
        <v>0</v>
      </c>
      <c r="BY322" s="1202">
        <v>0</v>
      </c>
      <c r="BZ322" s="1202">
        <v>0</v>
      </c>
      <c r="CA322" s="1202">
        <v>0</v>
      </c>
      <c r="CB322" s="1202">
        <v>0</v>
      </c>
    </row>
    <row r="323" spans="1:80" s="1156" customFormat="1" ht="43.2" x14ac:dyDescent="0.3">
      <c r="A323" s="1152">
        <v>959</v>
      </c>
      <c r="B323" s="1152" t="s">
        <v>1801</v>
      </c>
      <c r="C323" s="1205" t="s">
        <v>998</v>
      </c>
      <c r="D323" s="1153"/>
      <c r="E323" s="1200">
        <v>2</v>
      </c>
      <c r="F323" s="1201">
        <v>2</v>
      </c>
      <c r="G323" s="1201">
        <v>0</v>
      </c>
      <c r="H323" s="1201">
        <v>2</v>
      </c>
      <c r="I323" s="1201">
        <v>2</v>
      </c>
      <c r="J323" s="1201">
        <v>3</v>
      </c>
      <c r="K323" s="1201">
        <v>2</v>
      </c>
      <c r="L323" s="1202">
        <v>2</v>
      </c>
      <c r="M323" s="1202">
        <v>2</v>
      </c>
      <c r="N323" s="1202">
        <v>2</v>
      </c>
      <c r="O323" s="1202">
        <v>2</v>
      </c>
      <c r="P323" s="1202">
        <v>2</v>
      </c>
      <c r="Q323" s="1202">
        <v>2</v>
      </c>
      <c r="R323" s="1202">
        <v>3</v>
      </c>
      <c r="S323" s="1202">
        <v>2</v>
      </c>
      <c r="T323" s="1202">
        <v>2</v>
      </c>
      <c r="U323" s="1202">
        <v>0</v>
      </c>
      <c r="V323" s="1202">
        <v>2</v>
      </c>
      <c r="W323" s="1202">
        <v>3</v>
      </c>
      <c r="X323" s="1202">
        <v>2</v>
      </c>
      <c r="Y323" s="1202">
        <v>2</v>
      </c>
      <c r="Z323" s="1202">
        <v>2</v>
      </c>
      <c r="AA323" s="1202">
        <v>2</v>
      </c>
      <c r="AB323" s="1202">
        <v>2</v>
      </c>
      <c r="AC323" s="1202">
        <v>3</v>
      </c>
      <c r="AD323" s="1202">
        <v>2</v>
      </c>
      <c r="AE323" s="1202">
        <v>2</v>
      </c>
      <c r="AF323" s="1202">
        <v>2</v>
      </c>
      <c r="AG323" s="1202">
        <v>2</v>
      </c>
      <c r="AH323" s="1202">
        <v>2</v>
      </c>
      <c r="AI323" s="1202">
        <v>3</v>
      </c>
      <c r="AJ323" s="1202">
        <v>2</v>
      </c>
      <c r="AK323" s="1202">
        <v>2</v>
      </c>
      <c r="AL323" s="1202">
        <v>3</v>
      </c>
      <c r="AM323" s="1202">
        <v>2</v>
      </c>
      <c r="AN323" s="1202">
        <v>2</v>
      </c>
      <c r="AO323" s="1202">
        <v>2</v>
      </c>
      <c r="AP323" s="1202">
        <v>2</v>
      </c>
      <c r="AQ323" s="1202">
        <v>2</v>
      </c>
      <c r="AR323" s="1202">
        <v>2</v>
      </c>
      <c r="AS323" s="1202">
        <v>3</v>
      </c>
      <c r="AT323" s="1202">
        <v>2</v>
      </c>
      <c r="AU323" s="1202">
        <v>2</v>
      </c>
      <c r="AV323" s="1202">
        <v>3</v>
      </c>
      <c r="AW323" s="1202">
        <v>3</v>
      </c>
      <c r="AX323" s="1202">
        <v>2</v>
      </c>
      <c r="AY323" s="1202">
        <v>2</v>
      </c>
      <c r="AZ323" s="1202">
        <v>2</v>
      </c>
      <c r="BA323" s="1202">
        <v>2</v>
      </c>
      <c r="BB323" s="1202">
        <v>2</v>
      </c>
      <c r="BC323" s="1202">
        <v>3</v>
      </c>
      <c r="BD323" s="1202">
        <v>0</v>
      </c>
      <c r="BE323" s="1202">
        <v>3</v>
      </c>
      <c r="BF323" s="1202">
        <v>2</v>
      </c>
      <c r="BG323" s="1202">
        <v>0</v>
      </c>
      <c r="BH323" s="1202">
        <v>2</v>
      </c>
      <c r="BI323" s="1202">
        <v>2</v>
      </c>
      <c r="BJ323" s="1202">
        <v>2</v>
      </c>
      <c r="BK323" s="1202">
        <v>2</v>
      </c>
      <c r="BL323" s="1202">
        <v>2</v>
      </c>
      <c r="BM323" s="1202">
        <v>2</v>
      </c>
      <c r="BN323" s="1202">
        <v>3</v>
      </c>
      <c r="BO323" s="1202">
        <v>2</v>
      </c>
      <c r="BP323" s="1202">
        <v>2</v>
      </c>
      <c r="BQ323" s="1202">
        <v>3</v>
      </c>
      <c r="BR323" s="1202">
        <v>2</v>
      </c>
      <c r="BS323" s="1202">
        <v>3</v>
      </c>
      <c r="BT323" s="1202">
        <v>2</v>
      </c>
      <c r="BU323" s="1202">
        <v>2</v>
      </c>
      <c r="BV323" s="1202">
        <v>2</v>
      </c>
      <c r="BW323" s="1202">
        <v>3</v>
      </c>
      <c r="BX323" s="1202">
        <v>3</v>
      </c>
      <c r="BY323" s="1202">
        <v>3</v>
      </c>
      <c r="BZ323" s="1202">
        <v>2</v>
      </c>
      <c r="CA323" s="1202">
        <v>2</v>
      </c>
      <c r="CB323" s="1202">
        <v>2</v>
      </c>
    </row>
    <row r="324" spans="1:80" s="1156" customFormat="1" ht="43.2" x14ac:dyDescent="0.3">
      <c r="A324" s="1152">
        <v>961</v>
      </c>
      <c r="B324" s="1152" t="s">
        <v>1801</v>
      </c>
      <c r="C324" s="1205" t="s">
        <v>999</v>
      </c>
      <c r="D324" s="1153"/>
      <c r="E324" s="1200">
        <v>2</v>
      </c>
      <c r="F324" s="1201">
        <v>2</v>
      </c>
      <c r="G324" s="1201">
        <v>0</v>
      </c>
      <c r="H324" s="1201">
        <v>2</v>
      </c>
      <c r="I324" s="1201">
        <v>2</v>
      </c>
      <c r="J324" s="1201">
        <v>3</v>
      </c>
      <c r="K324" s="1201">
        <v>2</v>
      </c>
      <c r="L324" s="1202">
        <v>2</v>
      </c>
      <c r="M324" s="1202">
        <v>2</v>
      </c>
      <c r="N324" s="1202">
        <v>2</v>
      </c>
      <c r="O324" s="1202">
        <v>2</v>
      </c>
      <c r="P324" s="1202">
        <v>2</v>
      </c>
      <c r="Q324" s="1202">
        <v>2</v>
      </c>
      <c r="R324" s="1202">
        <v>2</v>
      </c>
      <c r="S324" s="1202">
        <v>2</v>
      </c>
      <c r="T324" s="1202">
        <v>2</v>
      </c>
      <c r="U324" s="1202">
        <v>0</v>
      </c>
      <c r="V324" s="1202">
        <v>2</v>
      </c>
      <c r="W324" s="1202">
        <v>3</v>
      </c>
      <c r="X324" s="1202">
        <v>3</v>
      </c>
      <c r="Y324" s="1202">
        <v>2</v>
      </c>
      <c r="Z324" s="1202">
        <v>2</v>
      </c>
      <c r="AA324" s="1202">
        <v>2</v>
      </c>
      <c r="AB324" s="1202">
        <v>2</v>
      </c>
      <c r="AC324" s="1202">
        <v>3</v>
      </c>
      <c r="AD324" s="1202">
        <v>2</v>
      </c>
      <c r="AE324" s="1202">
        <v>2</v>
      </c>
      <c r="AF324" s="1202">
        <v>2</v>
      </c>
      <c r="AG324" s="1202">
        <v>2</v>
      </c>
      <c r="AH324" s="1202">
        <v>3</v>
      </c>
      <c r="AI324" s="1202">
        <v>3</v>
      </c>
      <c r="AJ324" s="1202">
        <v>2</v>
      </c>
      <c r="AK324" s="1202">
        <v>2</v>
      </c>
      <c r="AL324" s="1202">
        <v>3</v>
      </c>
      <c r="AM324" s="1202">
        <v>3</v>
      </c>
      <c r="AN324" s="1202">
        <v>2</v>
      </c>
      <c r="AO324" s="1202">
        <v>2</v>
      </c>
      <c r="AP324" s="1202">
        <v>2</v>
      </c>
      <c r="AQ324" s="1202">
        <v>2</v>
      </c>
      <c r="AR324" s="1202">
        <v>2</v>
      </c>
      <c r="AS324" s="1202">
        <v>3</v>
      </c>
      <c r="AT324" s="1202">
        <v>2</v>
      </c>
      <c r="AU324" s="1202">
        <v>2</v>
      </c>
      <c r="AV324" s="1202">
        <v>2</v>
      </c>
      <c r="AW324" s="1202">
        <v>2</v>
      </c>
      <c r="AX324" s="1202">
        <v>2</v>
      </c>
      <c r="AY324" s="1202">
        <v>2</v>
      </c>
      <c r="AZ324" s="1202">
        <v>2</v>
      </c>
      <c r="BA324" s="1202">
        <v>2</v>
      </c>
      <c r="BB324" s="1202">
        <v>2</v>
      </c>
      <c r="BC324" s="1202">
        <v>3</v>
      </c>
      <c r="BD324" s="1202">
        <v>0</v>
      </c>
      <c r="BE324" s="1202">
        <v>3</v>
      </c>
      <c r="BF324" s="1202">
        <v>2</v>
      </c>
      <c r="BG324" s="1202">
        <v>0</v>
      </c>
      <c r="BH324" s="1202">
        <v>2</v>
      </c>
      <c r="BI324" s="1202">
        <v>2</v>
      </c>
      <c r="BJ324" s="1202">
        <v>2</v>
      </c>
      <c r="BK324" s="1202">
        <v>2</v>
      </c>
      <c r="BL324" s="1202">
        <v>2</v>
      </c>
      <c r="BM324" s="1202">
        <v>2</v>
      </c>
      <c r="BN324" s="1202">
        <v>3</v>
      </c>
      <c r="BO324" s="1202">
        <v>2</v>
      </c>
      <c r="BP324" s="1202">
        <v>2</v>
      </c>
      <c r="BQ324" s="1202">
        <v>3</v>
      </c>
      <c r="BR324" s="1202">
        <v>2</v>
      </c>
      <c r="BS324" s="1202">
        <v>2</v>
      </c>
      <c r="BT324" s="1202">
        <v>2</v>
      </c>
      <c r="BU324" s="1202">
        <v>2</v>
      </c>
      <c r="BV324" s="1202">
        <v>2</v>
      </c>
      <c r="BW324" s="1202">
        <v>2</v>
      </c>
      <c r="BX324" s="1202">
        <v>3</v>
      </c>
      <c r="BY324" s="1202">
        <v>3</v>
      </c>
      <c r="BZ324" s="1202">
        <v>3</v>
      </c>
      <c r="CA324" s="1202">
        <v>2</v>
      </c>
      <c r="CB324" s="1202">
        <v>2</v>
      </c>
    </row>
    <row r="325" spans="1:80" s="1156" customFormat="1" x14ac:dyDescent="0.3">
      <c r="A325" s="1152">
        <v>963</v>
      </c>
      <c r="B325" s="1152" t="s">
        <v>1801</v>
      </c>
      <c r="C325" s="1205" t="s">
        <v>1000</v>
      </c>
      <c r="D325" s="1153"/>
      <c r="E325" s="1200">
        <v>3</v>
      </c>
      <c r="F325" s="1201">
        <v>1</v>
      </c>
      <c r="G325" s="1201">
        <v>0</v>
      </c>
      <c r="H325" s="1201">
        <v>1</v>
      </c>
      <c r="I325" s="1201">
        <v>3</v>
      </c>
      <c r="J325" s="1201">
        <v>3</v>
      </c>
      <c r="K325" s="1201">
        <v>3</v>
      </c>
      <c r="L325" s="1202">
        <v>2</v>
      </c>
      <c r="M325" s="1202">
        <v>1</v>
      </c>
      <c r="N325" s="1202">
        <v>2</v>
      </c>
      <c r="O325" s="1202">
        <v>1</v>
      </c>
      <c r="P325" s="1202">
        <v>1</v>
      </c>
      <c r="Q325" s="1202">
        <v>3</v>
      </c>
      <c r="R325" s="1202">
        <v>1</v>
      </c>
      <c r="S325" s="1202">
        <v>1</v>
      </c>
      <c r="T325" s="1202">
        <v>3</v>
      </c>
      <c r="U325" s="1202">
        <v>0</v>
      </c>
      <c r="V325" s="1202">
        <v>1</v>
      </c>
      <c r="W325" s="1202">
        <v>3</v>
      </c>
      <c r="X325" s="1202">
        <v>3</v>
      </c>
      <c r="Y325" s="1202">
        <v>1</v>
      </c>
      <c r="Z325" s="1202">
        <v>3</v>
      </c>
      <c r="AA325" s="1202">
        <v>3</v>
      </c>
      <c r="AB325" s="1202">
        <v>3</v>
      </c>
      <c r="AC325" s="1202">
        <v>3</v>
      </c>
      <c r="AD325" s="1202">
        <v>1</v>
      </c>
      <c r="AE325" s="1202">
        <v>3</v>
      </c>
      <c r="AF325" s="1202">
        <v>3</v>
      </c>
      <c r="AG325" s="1202">
        <v>3</v>
      </c>
      <c r="AH325" s="1202">
        <v>1</v>
      </c>
      <c r="AI325" s="1202">
        <v>3</v>
      </c>
      <c r="AJ325" s="1202">
        <v>1</v>
      </c>
      <c r="AK325" s="1202">
        <v>1</v>
      </c>
      <c r="AL325" s="1202">
        <v>3</v>
      </c>
      <c r="AM325" s="1202">
        <v>3</v>
      </c>
      <c r="AN325" s="1202">
        <v>3</v>
      </c>
      <c r="AO325" s="1202">
        <v>3</v>
      </c>
      <c r="AP325" s="1202">
        <v>3</v>
      </c>
      <c r="AQ325" s="1202">
        <v>3</v>
      </c>
      <c r="AR325" s="1202">
        <v>3</v>
      </c>
      <c r="AS325" s="1202">
        <v>3</v>
      </c>
      <c r="AT325" s="1202">
        <v>1</v>
      </c>
      <c r="AU325" s="1202">
        <v>3</v>
      </c>
      <c r="AV325" s="1202">
        <v>1</v>
      </c>
      <c r="AW325" s="1202">
        <v>3</v>
      </c>
      <c r="AX325" s="1202">
        <v>3</v>
      </c>
      <c r="AY325" s="1202">
        <v>3</v>
      </c>
      <c r="AZ325" s="1202">
        <v>3</v>
      </c>
      <c r="BA325" s="1202">
        <v>2</v>
      </c>
      <c r="BB325" s="1202">
        <v>3</v>
      </c>
      <c r="BC325" s="1202">
        <v>3</v>
      </c>
      <c r="BD325" s="1202">
        <v>0</v>
      </c>
      <c r="BE325" s="1202">
        <v>3</v>
      </c>
      <c r="BF325" s="1202">
        <v>1</v>
      </c>
      <c r="BG325" s="1202">
        <v>0</v>
      </c>
      <c r="BH325" s="1202">
        <v>3</v>
      </c>
      <c r="BI325" s="1202">
        <v>1</v>
      </c>
      <c r="BJ325" s="1202">
        <v>3</v>
      </c>
      <c r="BK325" s="1202">
        <v>3</v>
      </c>
      <c r="BL325" s="1202">
        <v>3</v>
      </c>
      <c r="BM325" s="1202">
        <v>1</v>
      </c>
      <c r="BN325" s="1202">
        <v>3</v>
      </c>
      <c r="BO325" s="1202">
        <v>3</v>
      </c>
      <c r="BP325" s="1202">
        <v>3</v>
      </c>
      <c r="BQ325" s="1202">
        <v>3</v>
      </c>
      <c r="BR325" s="1202">
        <v>1</v>
      </c>
      <c r="BS325" s="1202">
        <v>1</v>
      </c>
      <c r="BT325" s="1202">
        <v>3</v>
      </c>
      <c r="BU325" s="1202">
        <v>3</v>
      </c>
      <c r="BV325" s="1202">
        <v>3</v>
      </c>
      <c r="BW325" s="1202">
        <v>3</v>
      </c>
      <c r="BX325" s="1202">
        <v>3</v>
      </c>
      <c r="BY325" s="1202">
        <v>3</v>
      </c>
      <c r="BZ325" s="1202">
        <v>3</v>
      </c>
      <c r="CA325" s="1202">
        <v>3</v>
      </c>
      <c r="CB325" s="1202">
        <v>3</v>
      </c>
    </row>
    <row r="326" spans="1:80" s="1156" customFormat="1" ht="28.8" x14ac:dyDescent="0.3">
      <c r="A326" s="1152">
        <v>965</v>
      </c>
      <c r="B326" s="1152" t="s">
        <v>1801</v>
      </c>
      <c r="C326" s="1205" t="s">
        <v>1001</v>
      </c>
      <c r="D326" s="1153"/>
      <c r="E326" s="1200">
        <v>1</v>
      </c>
      <c r="F326" s="1201">
        <v>1</v>
      </c>
      <c r="G326" s="1201">
        <v>0</v>
      </c>
      <c r="H326" s="1201">
        <v>1</v>
      </c>
      <c r="I326" s="1201">
        <v>1</v>
      </c>
      <c r="J326" s="1201">
        <v>1</v>
      </c>
      <c r="K326" s="1201">
        <v>1</v>
      </c>
      <c r="L326" s="1202">
        <v>1</v>
      </c>
      <c r="M326" s="1202">
        <v>1</v>
      </c>
      <c r="N326" s="1202">
        <v>1</v>
      </c>
      <c r="O326" s="1202">
        <v>1</v>
      </c>
      <c r="P326" s="1202">
        <v>1</v>
      </c>
      <c r="Q326" s="1202">
        <v>1</v>
      </c>
      <c r="R326" s="1202">
        <v>1</v>
      </c>
      <c r="S326" s="1202">
        <v>1</v>
      </c>
      <c r="T326" s="1202">
        <v>1</v>
      </c>
      <c r="U326" s="1202">
        <v>0</v>
      </c>
      <c r="V326" s="1202">
        <v>1</v>
      </c>
      <c r="W326" s="1202">
        <v>1</v>
      </c>
      <c r="X326" s="1202">
        <v>1</v>
      </c>
      <c r="Y326" s="1202">
        <v>1</v>
      </c>
      <c r="Z326" s="1202">
        <v>1</v>
      </c>
      <c r="AA326" s="1202">
        <v>1</v>
      </c>
      <c r="AB326" s="1202">
        <v>1</v>
      </c>
      <c r="AC326" s="1202">
        <v>1</v>
      </c>
      <c r="AD326" s="1202">
        <v>1</v>
      </c>
      <c r="AE326" s="1202">
        <v>1</v>
      </c>
      <c r="AF326" s="1202">
        <v>1</v>
      </c>
      <c r="AG326" s="1202">
        <v>1</v>
      </c>
      <c r="AH326" s="1202">
        <v>1</v>
      </c>
      <c r="AI326" s="1202">
        <v>1</v>
      </c>
      <c r="AJ326" s="1202">
        <v>1</v>
      </c>
      <c r="AK326" s="1202">
        <v>1</v>
      </c>
      <c r="AL326" s="1202">
        <v>1</v>
      </c>
      <c r="AM326" s="1202">
        <v>1</v>
      </c>
      <c r="AN326" s="1202">
        <v>1</v>
      </c>
      <c r="AO326" s="1202">
        <v>1</v>
      </c>
      <c r="AP326" s="1202">
        <v>1</v>
      </c>
      <c r="AQ326" s="1202">
        <v>1</v>
      </c>
      <c r="AR326" s="1202">
        <v>1</v>
      </c>
      <c r="AS326" s="1202">
        <v>1</v>
      </c>
      <c r="AT326" s="1202">
        <v>1</v>
      </c>
      <c r="AU326" s="1202">
        <v>1</v>
      </c>
      <c r="AV326" s="1202">
        <v>1</v>
      </c>
      <c r="AW326" s="1202">
        <v>1</v>
      </c>
      <c r="AX326" s="1202">
        <v>1</v>
      </c>
      <c r="AY326" s="1202">
        <v>1</v>
      </c>
      <c r="AZ326" s="1202">
        <v>1</v>
      </c>
      <c r="BA326" s="1202">
        <v>1</v>
      </c>
      <c r="BB326" s="1202">
        <v>1</v>
      </c>
      <c r="BC326" s="1202">
        <v>1</v>
      </c>
      <c r="BD326" s="1202">
        <v>0</v>
      </c>
      <c r="BE326" s="1202">
        <v>1</v>
      </c>
      <c r="BF326" s="1202">
        <v>1</v>
      </c>
      <c r="BG326" s="1202">
        <v>0</v>
      </c>
      <c r="BH326" s="1202">
        <v>1</v>
      </c>
      <c r="BI326" s="1202">
        <v>1</v>
      </c>
      <c r="BJ326" s="1202">
        <v>1</v>
      </c>
      <c r="BK326" s="1202">
        <v>1</v>
      </c>
      <c r="BL326" s="1202">
        <v>1</v>
      </c>
      <c r="BM326" s="1202">
        <v>1</v>
      </c>
      <c r="BN326" s="1202">
        <v>1</v>
      </c>
      <c r="BO326" s="1202">
        <v>1</v>
      </c>
      <c r="BP326" s="1202">
        <v>1</v>
      </c>
      <c r="BQ326" s="1202">
        <v>1</v>
      </c>
      <c r="BR326" s="1202">
        <v>1</v>
      </c>
      <c r="BS326" s="1202">
        <v>1</v>
      </c>
      <c r="BT326" s="1202">
        <v>1</v>
      </c>
      <c r="BU326" s="1202">
        <v>1</v>
      </c>
      <c r="BV326" s="1202">
        <v>1</v>
      </c>
      <c r="BW326" s="1202">
        <v>1</v>
      </c>
      <c r="BX326" s="1202">
        <v>1</v>
      </c>
      <c r="BY326" s="1202">
        <v>1</v>
      </c>
      <c r="BZ326" s="1202">
        <v>1</v>
      </c>
      <c r="CA326" s="1202">
        <v>1</v>
      </c>
      <c r="CB326" s="1202">
        <v>1</v>
      </c>
    </row>
    <row r="327" spans="1:80" s="1156" customFormat="1" x14ac:dyDescent="0.3">
      <c r="A327" s="1152">
        <v>603</v>
      </c>
      <c r="B327" s="1152" t="s">
        <v>1802</v>
      </c>
      <c r="C327" s="1205" t="s">
        <v>1006</v>
      </c>
      <c r="D327" s="1153"/>
      <c r="E327" s="1200">
        <v>1</v>
      </c>
      <c r="F327" s="1201">
        <v>1</v>
      </c>
      <c r="G327" s="1201">
        <v>0</v>
      </c>
      <c r="H327" s="1201">
        <v>1</v>
      </c>
      <c r="I327" s="1201">
        <v>0</v>
      </c>
      <c r="J327" s="1201">
        <v>2</v>
      </c>
      <c r="K327" s="1201">
        <v>0</v>
      </c>
      <c r="L327" s="1202">
        <v>1</v>
      </c>
      <c r="M327" s="1202">
        <v>1</v>
      </c>
      <c r="N327" s="1202">
        <v>2</v>
      </c>
      <c r="O327" s="1202">
        <v>6</v>
      </c>
      <c r="P327" s="1202">
        <v>0</v>
      </c>
      <c r="Q327" s="1202">
        <v>1</v>
      </c>
      <c r="R327" s="1202">
        <v>1</v>
      </c>
      <c r="S327" s="1202">
        <v>0</v>
      </c>
      <c r="T327" s="1202">
        <v>1</v>
      </c>
      <c r="U327" s="1202">
        <v>0</v>
      </c>
      <c r="V327" s="1202">
        <v>1</v>
      </c>
      <c r="W327" s="1202">
        <v>1</v>
      </c>
      <c r="X327" s="1202">
        <v>1</v>
      </c>
      <c r="Y327" s="1202">
        <v>1</v>
      </c>
      <c r="Z327" s="1202">
        <v>1</v>
      </c>
      <c r="AA327" s="1202">
        <v>0</v>
      </c>
      <c r="AB327" s="1202">
        <v>4</v>
      </c>
      <c r="AC327" s="1202">
        <v>0</v>
      </c>
      <c r="AD327" s="1202">
        <v>1</v>
      </c>
      <c r="AE327" s="1202">
        <v>0</v>
      </c>
      <c r="AF327" s="1202">
        <v>5</v>
      </c>
      <c r="AG327" s="1202">
        <v>2</v>
      </c>
      <c r="AH327" s="1202">
        <v>2</v>
      </c>
      <c r="AI327" s="1202">
        <v>0</v>
      </c>
      <c r="AJ327" s="1202">
        <v>0</v>
      </c>
      <c r="AK327" s="1202">
        <v>0</v>
      </c>
      <c r="AL327" s="1202">
        <v>2</v>
      </c>
      <c r="AM327" s="1202">
        <v>2</v>
      </c>
      <c r="AN327" s="1202">
        <v>0</v>
      </c>
      <c r="AO327" s="1202">
        <v>0</v>
      </c>
      <c r="AP327" s="1202">
        <v>0</v>
      </c>
      <c r="AQ327" s="1202">
        <v>0</v>
      </c>
      <c r="AR327" s="1202">
        <v>0</v>
      </c>
      <c r="AS327" s="1202">
        <v>0</v>
      </c>
      <c r="AT327" s="1202">
        <v>0</v>
      </c>
      <c r="AU327" s="1202">
        <v>4</v>
      </c>
      <c r="AV327" s="1202">
        <v>2</v>
      </c>
      <c r="AW327" s="1202">
        <v>2</v>
      </c>
      <c r="AX327" s="1202">
        <v>1</v>
      </c>
      <c r="AY327" s="1202">
        <v>0</v>
      </c>
      <c r="AZ327" s="1202">
        <v>2</v>
      </c>
      <c r="BA327" s="1202">
        <v>4</v>
      </c>
      <c r="BB327" s="1202">
        <v>5</v>
      </c>
      <c r="BC327" s="1202">
        <v>0</v>
      </c>
      <c r="BD327" s="1202">
        <v>0</v>
      </c>
      <c r="BE327" s="1202">
        <v>0</v>
      </c>
      <c r="BF327" s="1202">
        <v>4</v>
      </c>
      <c r="BG327" s="1202">
        <v>0</v>
      </c>
      <c r="BH327" s="1202">
        <v>0</v>
      </c>
      <c r="BI327" s="1202">
        <v>0</v>
      </c>
      <c r="BJ327" s="1202">
        <v>2</v>
      </c>
      <c r="BK327" s="1202">
        <v>0</v>
      </c>
      <c r="BL327" s="1202">
        <v>0</v>
      </c>
      <c r="BM327" s="1202">
        <v>0</v>
      </c>
      <c r="BN327" s="1202">
        <v>2</v>
      </c>
      <c r="BO327" s="1202">
        <v>1</v>
      </c>
      <c r="BP327" s="1202">
        <v>0</v>
      </c>
      <c r="BQ327" s="1202">
        <v>2</v>
      </c>
      <c r="BR327" s="1202">
        <v>1</v>
      </c>
      <c r="BS327" s="1202">
        <v>0</v>
      </c>
      <c r="BT327" s="1202">
        <v>1</v>
      </c>
      <c r="BU327" s="1202">
        <v>1</v>
      </c>
      <c r="BV327" s="1202">
        <v>0</v>
      </c>
      <c r="BW327" s="1202">
        <v>4</v>
      </c>
      <c r="BX327" s="1202">
        <v>0</v>
      </c>
      <c r="BY327" s="1202">
        <v>2</v>
      </c>
      <c r="BZ327" s="1202">
        <v>1</v>
      </c>
      <c r="CA327" s="1202">
        <v>1</v>
      </c>
      <c r="CB327" s="1202">
        <v>0</v>
      </c>
    </row>
    <row r="328" spans="1:80" s="1156" customFormat="1" x14ac:dyDescent="0.3">
      <c r="A328" s="1152">
        <v>929</v>
      </c>
      <c r="B328" s="1152" t="s">
        <v>1802</v>
      </c>
      <c r="C328" s="1205" t="s">
        <v>1002</v>
      </c>
      <c r="D328" s="1153"/>
      <c r="E328" s="1200">
        <v>2</v>
      </c>
      <c r="F328" s="1201">
        <v>2</v>
      </c>
      <c r="G328" s="1201">
        <v>0</v>
      </c>
      <c r="H328" s="1201">
        <v>2</v>
      </c>
      <c r="I328" s="1201">
        <v>0</v>
      </c>
      <c r="J328" s="1201">
        <v>2</v>
      </c>
      <c r="K328" s="1201">
        <v>0</v>
      </c>
      <c r="L328" s="1202">
        <v>2</v>
      </c>
      <c r="M328" s="1202">
        <v>2</v>
      </c>
      <c r="N328" s="1202">
        <v>2</v>
      </c>
      <c r="O328" s="1202">
        <v>2</v>
      </c>
      <c r="P328" s="1202">
        <v>0</v>
      </c>
      <c r="Q328" s="1202">
        <v>2</v>
      </c>
      <c r="R328" s="1202">
        <v>2</v>
      </c>
      <c r="S328" s="1202">
        <v>0</v>
      </c>
      <c r="T328" s="1202">
        <v>2</v>
      </c>
      <c r="U328" s="1202">
        <v>0</v>
      </c>
      <c r="V328" s="1202">
        <v>2</v>
      </c>
      <c r="W328" s="1202">
        <v>2</v>
      </c>
      <c r="X328" s="1202">
        <v>2</v>
      </c>
      <c r="Y328" s="1202">
        <v>2</v>
      </c>
      <c r="Z328" s="1202">
        <v>2</v>
      </c>
      <c r="AA328" s="1202">
        <v>0</v>
      </c>
      <c r="AB328" s="1202">
        <v>1</v>
      </c>
      <c r="AC328" s="1202">
        <v>0</v>
      </c>
      <c r="AD328" s="1202">
        <v>2</v>
      </c>
      <c r="AE328" s="1202">
        <v>0</v>
      </c>
      <c r="AF328" s="1202">
        <v>2</v>
      </c>
      <c r="AG328" s="1202">
        <v>1</v>
      </c>
      <c r="AH328" s="1202">
        <v>2</v>
      </c>
      <c r="AI328" s="1202">
        <v>0</v>
      </c>
      <c r="AJ328" s="1202">
        <v>0</v>
      </c>
      <c r="AK328" s="1202">
        <v>0</v>
      </c>
      <c r="AL328" s="1202">
        <v>1</v>
      </c>
      <c r="AM328" s="1202">
        <v>2</v>
      </c>
      <c r="AN328" s="1202">
        <v>0</v>
      </c>
      <c r="AO328" s="1202">
        <v>0</v>
      </c>
      <c r="AP328" s="1202">
        <v>0</v>
      </c>
      <c r="AQ328" s="1202">
        <v>0</v>
      </c>
      <c r="AR328" s="1202">
        <v>2</v>
      </c>
      <c r="AS328" s="1202">
        <v>0</v>
      </c>
      <c r="AT328" s="1202">
        <v>0</v>
      </c>
      <c r="AU328" s="1202">
        <v>1</v>
      </c>
      <c r="AV328" s="1202">
        <v>2</v>
      </c>
      <c r="AW328" s="1202">
        <v>2</v>
      </c>
      <c r="AX328" s="1202">
        <v>2</v>
      </c>
      <c r="AY328" s="1202">
        <v>0</v>
      </c>
      <c r="AZ328" s="1202">
        <v>2</v>
      </c>
      <c r="BA328" s="1202">
        <v>2</v>
      </c>
      <c r="BB328" s="1202">
        <v>2</v>
      </c>
      <c r="BC328" s="1202">
        <v>0</v>
      </c>
      <c r="BD328" s="1202">
        <v>0</v>
      </c>
      <c r="BE328" s="1202">
        <v>0</v>
      </c>
      <c r="BF328" s="1202">
        <v>1</v>
      </c>
      <c r="BG328" s="1202">
        <v>0</v>
      </c>
      <c r="BH328" s="1202">
        <v>0</v>
      </c>
      <c r="BI328" s="1202">
        <v>0</v>
      </c>
      <c r="BJ328" s="1202">
        <v>2</v>
      </c>
      <c r="BK328" s="1202">
        <v>0</v>
      </c>
      <c r="BL328" s="1202">
        <v>0</v>
      </c>
      <c r="BM328" s="1202">
        <v>0</v>
      </c>
      <c r="BN328" s="1202">
        <v>2</v>
      </c>
      <c r="BO328" s="1202">
        <v>2</v>
      </c>
      <c r="BP328" s="1202">
        <v>0</v>
      </c>
      <c r="BQ328" s="1202">
        <v>2</v>
      </c>
      <c r="BR328" s="1202">
        <v>2</v>
      </c>
      <c r="BS328" s="1202">
        <v>0</v>
      </c>
      <c r="BT328" s="1202">
        <v>2</v>
      </c>
      <c r="BU328" s="1202">
        <v>2</v>
      </c>
      <c r="BV328" s="1202">
        <v>0</v>
      </c>
      <c r="BW328" s="1202">
        <v>1</v>
      </c>
      <c r="BX328" s="1202">
        <v>0</v>
      </c>
      <c r="BY328" s="1202">
        <v>2</v>
      </c>
      <c r="BZ328" s="1202">
        <v>2</v>
      </c>
      <c r="CA328" s="1202">
        <v>2</v>
      </c>
      <c r="CB328" s="1202">
        <v>0</v>
      </c>
    </row>
    <row r="329" spans="1:80" s="1156" customFormat="1" x14ac:dyDescent="0.3">
      <c r="A329" s="1152">
        <v>930</v>
      </c>
      <c r="B329" s="1152" t="s">
        <v>1802</v>
      </c>
      <c r="C329" s="1205" t="s">
        <v>1003</v>
      </c>
      <c r="D329" s="1153"/>
      <c r="E329" s="1200">
        <v>1</v>
      </c>
      <c r="F329" s="1201">
        <v>2</v>
      </c>
      <c r="G329" s="1201">
        <v>0</v>
      </c>
      <c r="H329" s="1201">
        <v>2</v>
      </c>
      <c r="I329" s="1201">
        <v>0</v>
      </c>
      <c r="J329" s="1201">
        <v>2</v>
      </c>
      <c r="K329" s="1201">
        <v>0</v>
      </c>
      <c r="L329" s="1202">
        <v>2</v>
      </c>
      <c r="M329" s="1202">
        <v>2</v>
      </c>
      <c r="N329" s="1202">
        <v>2</v>
      </c>
      <c r="O329" s="1202">
        <v>2</v>
      </c>
      <c r="P329" s="1202">
        <v>0</v>
      </c>
      <c r="Q329" s="1202">
        <v>2</v>
      </c>
      <c r="R329" s="1202">
        <v>2</v>
      </c>
      <c r="S329" s="1202">
        <v>0</v>
      </c>
      <c r="T329" s="1202">
        <v>2</v>
      </c>
      <c r="U329" s="1202">
        <v>0</v>
      </c>
      <c r="V329" s="1202">
        <v>1</v>
      </c>
      <c r="W329" s="1202">
        <v>2</v>
      </c>
      <c r="X329" s="1202">
        <v>2</v>
      </c>
      <c r="Y329" s="1202">
        <v>2</v>
      </c>
      <c r="Z329" s="1202">
        <v>2</v>
      </c>
      <c r="AA329" s="1202">
        <v>0</v>
      </c>
      <c r="AB329" s="1202">
        <v>2</v>
      </c>
      <c r="AC329" s="1202">
        <v>0</v>
      </c>
      <c r="AD329" s="1202">
        <v>2</v>
      </c>
      <c r="AE329" s="1202">
        <v>0</v>
      </c>
      <c r="AF329" s="1202">
        <v>2</v>
      </c>
      <c r="AG329" s="1202">
        <v>0</v>
      </c>
      <c r="AH329" s="1202">
        <v>2</v>
      </c>
      <c r="AI329" s="1202">
        <v>0</v>
      </c>
      <c r="AJ329" s="1202">
        <v>0</v>
      </c>
      <c r="AK329" s="1202">
        <v>0</v>
      </c>
      <c r="AL329" s="1202">
        <v>2</v>
      </c>
      <c r="AM329" s="1202">
        <v>2</v>
      </c>
      <c r="AN329" s="1202">
        <v>0</v>
      </c>
      <c r="AO329" s="1202">
        <v>0</v>
      </c>
      <c r="AP329" s="1202">
        <v>0</v>
      </c>
      <c r="AQ329" s="1202">
        <v>0</v>
      </c>
      <c r="AR329" s="1202">
        <v>2</v>
      </c>
      <c r="AS329" s="1202">
        <v>0</v>
      </c>
      <c r="AT329" s="1202">
        <v>0</v>
      </c>
      <c r="AU329" s="1202">
        <v>2</v>
      </c>
      <c r="AV329" s="1202">
        <v>2</v>
      </c>
      <c r="AW329" s="1202">
        <v>2</v>
      </c>
      <c r="AX329" s="1202">
        <v>2</v>
      </c>
      <c r="AY329" s="1202">
        <v>0</v>
      </c>
      <c r="AZ329" s="1202">
        <v>2</v>
      </c>
      <c r="BA329" s="1202">
        <v>1</v>
      </c>
      <c r="BB329" s="1202">
        <v>1</v>
      </c>
      <c r="BC329" s="1202">
        <v>0</v>
      </c>
      <c r="BD329" s="1202">
        <v>0</v>
      </c>
      <c r="BE329" s="1202">
        <v>0</v>
      </c>
      <c r="BF329" s="1202">
        <v>2</v>
      </c>
      <c r="BG329" s="1202">
        <v>0</v>
      </c>
      <c r="BH329" s="1202">
        <v>0</v>
      </c>
      <c r="BI329" s="1202">
        <v>0</v>
      </c>
      <c r="BJ329" s="1202">
        <v>2</v>
      </c>
      <c r="BK329" s="1202">
        <v>0</v>
      </c>
      <c r="BL329" s="1202">
        <v>0</v>
      </c>
      <c r="BM329" s="1202">
        <v>0</v>
      </c>
      <c r="BN329" s="1202">
        <v>2</v>
      </c>
      <c r="BO329" s="1202">
        <v>2</v>
      </c>
      <c r="BP329" s="1202">
        <v>0</v>
      </c>
      <c r="BQ329" s="1202">
        <v>2</v>
      </c>
      <c r="BR329" s="1202">
        <v>2</v>
      </c>
      <c r="BS329" s="1202">
        <v>0</v>
      </c>
      <c r="BT329" s="1202">
        <v>2</v>
      </c>
      <c r="BU329" s="1202">
        <v>2</v>
      </c>
      <c r="BV329" s="1202">
        <v>0</v>
      </c>
      <c r="BW329" s="1202">
        <v>2</v>
      </c>
      <c r="BX329" s="1202">
        <v>0</v>
      </c>
      <c r="BY329" s="1202">
        <v>2</v>
      </c>
      <c r="BZ329" s="1202">
        <v>2</v>
      </c>
      <c r="CA329" s="1202">
        <v>2</v>
      </c>
      <c r="CB329" s="1202">
        <v>0</v>
      </c>
    </row>
    <row r="330" spans="1:80" s="1156" customFormat="1" x14ac:dyDescent="0.3">
      <c r="A330" s="1152">
        <v>931</v>
      </c>
      <c r="B330" s="1152" t="s">
        <v>1802</v>
      </c>
      <c r="C330" s="1205" t="s">
        <v>1004</v>
      </c>
      <c r="D330" s="1153"/>
      <c r="E330" s="1200">
        <v>2</v>
      </c>
      <c r="F330" s="1201">
        <v>2</v>
      </c>
      <c r="G330" s="1201">
        <v>0</v>
      </c>
      <c r="H330" s="1201">
        <v>2</v>
      </c>
      <c r="I330" s="1201">
        <v>0</v>
      </c>
      <c r="J330" s="1201">
        <v>2</v>
      </c>
      <c r="K330" s="1201">
        <v>0</v>
      </c>
      <c r="L330" s="1202">
        <v>2</v>
      </c>
      <c r="M330" s="1202">
        <v>2</v>
      </c>
      <c r="N330" s="1202">
        <v>2</v>
      </c>
      <c r="O330" s="1202">
        <v>2</v>
      </c>
      <c r="P330" s="1202">
        <v>0</v>
      </c>
      <c r="Q330" s="1202">
        <v>2</v>
      </c>
      <c r="R330" s="1202">
        <v>2</v>
      </c>
      <c r="S330" s="1202">
        <v>0</v>
      </c>
      <c r="T330" s="1202">
        <v>2</v>
      </c>
      <c r="U330" s="1202">
        <v>0</v>
      </c>
      <c r="V330" s="1202">
        <v>2</v>
      </c>
      <c r="W330" s="1202">
        <v>2</v>
      </c>
      <c r="X330" s="1202">
        <v>2</v>
      </c>
      <c r="Y330" s="1202">
        <v>2</v>
      </c>
      <c r="Z330" s="1202">
        <v>2</v>
      </c>
      <c r="AA330" s="1202">
        <v>0</v>
      </c>
      <c r="AB330" s="1202">
        <v>2</v>
      </c>
      <c r="AC330" s="1202">
        <v>0</v>
      </c>
      <c r="AD330" s="1202">
        <v>2</v>
      </c>
      <c r="AE330" s="1202">
        <v>0</v>
      </c>
      <c r="AF330" s="1202">
        <v>2</v>
      </c>
      <c r="AG330" s="1202">
        <v>0</v>
      </c>
      <c r="AH330" s="1202">
        <v>2</v>
      </c>
      <c r="AI330" s="1202">
        <v>0</v>
      </c>
      <c r="AJ330" s="1202">
        <v>0</v>
      </c>
      <c r="AK330" s="1202">
        <v>0</v>
      </c>
      <c r="AL330" s="1202">
        <v>2</v>
      </c>
      <c r="AM330" s="1202">
        <v>2</v>
      </c>
      <c r="AN330" s="1202">
        <v>0</v>
      </c>
      <c r="AO330" s="1202">
        <v>0</v>
      </c>
      <c r="AP330" s="1202">
        <v>0</v>
      </c>
      <c r="AQ330" s="1202">
        <v>0</v>
      </c>
      <c r="AR330" s="1202">
        <v>2</v>
      </c>
      <c r="AS330" s="1202">
        <v>0</v>
      </c>
      <c r="AT330" s="1202">
        <v>0</v>
      </c>
      <c r="AU330" s="1202">
        <v>2</v>
      </c>
      <c r="AV330" s="1202">
        <v>2</v>
      </c>
      <c r="AW330" s="1202">
        <v>2</v>
      </c>
      <c r="AX330" s="1202">
        <v>2</v>
      </c>
      <c r="AY330" s="1202">
        <v>0</v>
      </c>
      <c r="AZ330" s="1202">
        <v>2</v>
      </c>
      <c r="BA330" s="1202">
        <v>2</v>
      </c>
      <c r="BB330" s="1202">
        <v>2</v>
      </c>
      <c r="BC330" s="1202">
        <v>0</v>
      </c>
      <c r="BD330" s="1202">
        <v>0</v>
      </c>
      <c r="BE330" s="1202">
        <v>0</v>
      </c>
      <c r="BF330" s="1202">
        <v>2</v>
      </c>
      <c r="BG330" s="1202">
        <v>0</v>
      </c>
      <c r="BH330" s="1202">
        <v>0</v>
      </c>
      <c r="BI330" s="1202">
        <v>0</v>
      </c>
      <c r="BJ330" s="1202">
        <v>2</v>
      </c>
      <c r="BK330" s="1202">
        <v>0</v>
      </c>
      <c r="BL330" s="1202">
        <v>0</v>
      </c>
      <c r="BM330" s="1202">
        <v>0</v>
      </c>
      <c r="BN330" s="1202">
        <v>2</v>
      </c>
      <c r="BO330" s="1202">
        <v>2</v>
      </c>
      <c r="BP330" s="1202">
        <v>0</v>
      </c>
      <c r="BQ330" s="1202">
        <v>2</v>
      </c>
      <c r="BR330" s="1202">
        <v>2</v>
      </c>
      <c r="BS330" s="1202">
        <v>0</v>
      </c>
      <c r="BT330" s="1202">
        <v>2</v>
      </c>
      <c r="BU330" s="1202">
        <v>2</v>
      </c>
      <c r="BV330" s="1202">
        <v>0</v>
      </c>
      <c r="BW330" s="1202">
        <v>2</v>
      </c>
      <c r="BX330" s="1202">
        <v>0</v>
      </c>
      <c r="BY330" s="1202">
        <v>2</v>
      </c>
      <c r="BZ330" s="1202">
        <v>2</v>
      </c>
      <c r="CA330" s="1202">
        <v>2</v>
      </c>
      <c r="CB330" s="1202">
        <v>0</v>
      </c>
    </row>
    <row r="331" spans="1:80" s="1156" customFormat="1" x14ac:dyDescent="0.3">
      <c r="A331" s="1152">
        <v>932</v>
      </c>
      <c r="B331" s="1152" t="s">
        <v>1802</v>
      </c>
      <c r="C331" s="1205" t="s">
        <v>1005</v>
      </c>
      <c r="D331" s="1153"/>
      <c r="E331" s="1200">
        <v>2</v>
      </c>
      <c r="F331" s="1201">
        <v>2</v>
      </c>
      <c r="G331" s="1201">
        <v>0</v>
      </c>
      <c r="H331" s="1201">
        <v>2</v>
      </c>
      <c r="I331" s="1201">
        <v>0</v>
      </c>
      <c r="J331" s="1201">
        <v>2</v>
      </c>
      <c r="K331" s="1201">
        <v>0</v>
      </c>
      <c r="L331" s="1202">
        <v>2</v>
      </c>
      <c r="M331" s="1202">
        <v>2</v>
      </c>
      <c r="N331" s="1202">
        <v>2</v>
      </c>
      <c r="O331" s="1202">
        <v>2</v>
      </c>
      <c r="P331" s="1202">
        <v>0</v>
      </c>
      <c r="Q331" s="1202">
        <v>2</v>
      </c>
      <c r="R331" s="1202">
        <v>2</v>
      </c>
      <c r="S331" s="1202">
        <v>0</v>
      </c>
      <c r="T331" s="1202">
        <v>2</v>
      </c>
      <c r="U331" s="1202">
        <v>0</v>
      </c>
      <c r="V331" s="1202">
        <v>2</v>
      </c>
      <c r="W331" s="1202">
        <v>2</v>
      </c>
      <c r="X331" s="1202">
        <v>2</v>
      </c>
      <c r="Y331" s="1202">
        <v>2</v>
      </c>
      <c r="Z331" s="1202">
        <v>2</v>
      </c>
      <c r="AA331" s="1202">
        <v>0</v>
      </c>
      <c r="AB331" s="1202">
        <v>2</v>
      </c>
      <c r="AC331" s="1202">
        <v>0</v>
      </c>
      <c r="AD331" s="1202">
        <v>2</v>
      </c>
      <c r="AE331" s="1202">
        <v>0</v>
      </c>
      <c r="AF331" s="1202">
        <v>2</v>
      </c>
      <c r="AG331" s="1202">
        <v>0</v>
      </c>
      <c r="AH331" s="1202">
        <v>2</v>
      </c>
      <c r="AI331" s="1202">
        <v>0</v>
      </c>
      <c r="AJ331" s="1202">
        <v>0</v>
      </c>
      <c r="AK331" s="1202">
        <v>0</v>
      </c>
      <c r="AL331" s="1202">
        <v>2</v>
      </c>
      <c r="AM331" s="1202">
        <v>2</v>
      </c>
      <c r="AN331" s="1202">
        <v>0</v>
      </c>
      <c r="AO331" s="1202">
        <v>0</v>
      </c>
      <c r="AP331" s="1202">
        <v>0</v>
      </c>
      <c r="AQ331" s="1202">
        <v>0</v>
      </c>
      <c r="AR331" s="1202">
        <v>2</v>
      </c>
      <c r="AS331" s="1202">
        <v>0</v>
      </c>
      <c r="AT331" s="1202">
        <v>0</v>
      </c>
      <c r="AU331" s="1202">
        <v>2</v>
      </c>
      <c r="AV331" s="1202">
        <v>2</v>
      </c>
      <c r="AW331" s="1202">
        <v>2</v>
      </c>
      <c r="AX331" s="1202">
        <v>2</v>
      </c>
      <c r="AY331" s="1202">
        <v>0</v>
      </c>
      <c r="AZ331" s="1202">
        <v>2</v>
      </c>
      <c r="BA331" s="1202">
        <v>2</v>
      </c>
      <c r="BB331" s="1202">
        <v>1</v>
      </c>
      <c r="BC331" s="1202">
        <v>0</v>
      </c>
      <c r="BD331" s="1202">
        <v>0</v>
      </c>
      <c r="BE331" s="1202">
        <v>0</v>
      </c>
      <c r="BF331" s="1202">
        <v>2</v>
      </c>
      <c r="BG331" s="1202">
        <v>0</v>
      </c>
      <c r="BH331" s="1202">
        <v>0</v>
      </c>
      <c r="BI331" s="1202">
        <v>0</v>
      </c>
      <c r="BJ331" s="1202">
        <v>2</v>
      </c>
      <c r="BK331" s="1202">
        <v>0</v>
      </c>
      <c r="BL331" s="1202">
        <v>0</v>
      </c>
      <c r="BM331" s="1202">
        <v>0</v>
      </c>
      <c r="BN331" s="1202">
        <v>2</v>
      </c>
      <c r="BO331" s="1202">
        <v>2</v>
      </c>
      <c r="BP331" s="1202">
        <v>0</v>
      </c>
      <c r="BQ331" s="1202">
        <v>2</v>
      </c>
      <c r="BR331" s="1202">
        <v>2</v>
      </c>
      <c r="BS331" s="1202">
        <v>0</v>
      </c>
      <c r="BT331" s="1202">
        <v>2</v>
      </c>
      <c r="BU331" s="1202">
        <v>2</v>
      </c>
      <c r="BV331" s="1202">
        <v>0</v>
      </c>
      <c r="BW331" s="1202">
        <v>2</v>
      </c>
      <c r="BX331" s="1202">
        <v>0</v>
      </c>
      <c r="BY331" s="1202">
        <v>2</v>
      </c>
      <c r="BZ331" s="1202">
        <v>2</v>
      </c>
      <c r="CA331" s="1202">
        <v>2</v>
      </c>
      <c r="CB331" s="1202">
        <v>0</v>
      </c>
    </row>
    <row r="332" spans="1:80" s="1156" customFormat="1" x14ac:dyDescent="0.3">
      <c r="A332" s="1152" t="s">
        <v>1803</v>
      </c>
      <c r="B332" s="1152"/>
      <c r="C332" s="1205"/>
      <c r="D332" s="1153"/>
      <c r="E332" s="1200"/>
      <c r="F332" s="1201"/>
      <c r="G332" s="1201"/>
      <c r="H332" s="1201"/>
      <c r="I332" s="1201"/>
      <c r="J332" s="1201"/>
      <c r="K332" s="1201"/>
      <c r="L332" s="1202"/>
      <c r="M332" s="1202"/>
      <c r="N332" s="1202"/>
      <c r="O332" s="1202"/>
      <c r="P332" s="1202"/>
      <c r="Q332" s="1202"/>
      <c r="R332" s="1202"/>
      <c r="S332" s="1202"/>
      <c r="T332" s="1202"/>
      <c r="U332" s="1202"/>
      <c r="V332" s="1202"/>
      <c r="W332" s="1202"/>
      <c r="X332" s="1202"/>
      <c r="Y332" s="1202"/>
      <c r="Z332" s="1202"/>
      <c r="AA332" s="1202"/>
      <c r="AB332" s="1202"/>
      <c r="AC332" s="1202"/>
      <c r="AD332" s="1202"/>
      <c r="AE332" s="1202"/>
      <c r="AF332" s="1202"/>
      <c r="AG332" s="1202"/>
      <c r="AH332" s="1202"/>
      <c r="AI332" s="1202"/>
      <c r="AJ332" s="1202"/>
      <c r="AK332" s="1202"/>
      <c r="AL332" s="1202"/>
      <c r="AM332" s="1202"/>
      <c r="AN332" s="1202"/>
      <c r="AO332" s="1202"/>
      <c r="AP332" s="1202"/>
      <c r="AQ332" s="1202"/>
      <c r="AR332" s="1202"/>
      <c r="AS332" s="1202"/>
      <c r="AT332" s="1202"/>
      <c r="AU332" s="1202"/>
      <c r="AV332" s="1202"/>
      <c r="AW332" s="1202"/>
      <c r="AX332" s="1202"/>
      <c r="AY332" s="1202"/>
      <c r="AZ332" s="1202"/>
      <c r="BA332" s="1202"/>
      <c r="BB332" s="1202"/>
      <c r="BC332" s="1202"/>
      <c r="BD332" s="1202"/>
      <c r="BE332" s="1202"/>
      <c r="BF332" s="1202"/>
      <c r="BG332" s="1202"/>
      <c r="BH332" s="1202"/>
      <c r="BI332" s="1202"/>
      <c r="BJ332" s="1202"/>
      <c r="BK332" s="1202"/>
      <c r="BL332" s="1202"/>
      <c r="BM332" s="1202"/>
      <c r="BN332" s="1202"/>
      <c r="BO332" s="1202"/>
      <c r="BP332" s="1202"/>
      <c r="BQ332" s="1202"/>
      <c r="BR332" s="1202"/>
      <c r="BS332" s="1202"/>
      <c r="BT332" s="1202"/>
      <c r="BU332" s="1202"/>
      <c r="BV332" s="1202"/>
      <c r="BW332" s="1202"/>
      <c r="BX332" s="1202"/>
      <c r="BY332" s="1202"/>
      <c r="BZ332" s="1202"/>
      <c r="CA332" s="1202"/>
      <c r="CB332" s="1202"/>
    </row>
    <row r="333" spans="1:80" s="1156" customFormat="1" x14ac:dyDescent="0.3">
      <c r="A333" s="1154" t="s">
        <v>1803</v>
      </c>
      <c r="B333" s="1154"/>
      <c r="C333" s="1154"/>
      <c r="D333" s="1154"/>
      <c r="E333" s="1154"/>
      <c r="F333" s="1154"/>
      <c r="G333" s="1154"/>
      <c r="H333" s="1154"/>
      <c r="I333" s="1154"/>
      <c r="J333" s="1154"/>
      <c r="K333" s="1154"/>
      <c r="L333" s="1154"/>
      <c r="M333" s="1154"/>
      <c r="N333" s="1154"/>
      <c r="O333" s="1154"/>
      <c r="P333" s="1154"/>
      <c r="Q333" s="1154"/>
      <c r="R333" s="1154"/>
      <c r="S333" s="1154"/>
      <c r="T333" s="1154"/>
      <c r="U333" s="1154"/>
      <c r="V333" s="1154"/>
      <c r="W333" s="1154"/>
      <c r="X333" s="1154"/>
      <c r="Y333" s="1154"/>
      <c r="Z333" s="1154"/>
      <c r="AA333" s="1154"/>
      <c r="AB333" s="1154"/>
      <c r="AC333" s="1154"/>
      <c r="AD333" s="1154"/>
      <c r="AE333" s="1154"/>
      <c r="AF333" s="1154"/>
      <c r="AG333" s="1154"/>
      <c r="AH333" s="1154"/>
      <c r="AI333" s="1154"/>
      <c r="AJ333" s="1154"/>
      <c r="AK333" s="1154"/>
      <c r="AL333" s="1154"/>
      <c r="AM333" s="1154"/>
      <c r="AN333" s="1154"/>
      <c r="AO333" s="1154"/>
      <c r="AP333" s="1154"/>
      <c r="AQ333" s="1154"/>
      <c r="AR333" s="1154"/>
      <c r="AS333" s="1154"/>
      <c r="AT333" s="1154"/>
      <c r="AU333" s="1154"/>
      <c r="AV333" s="1154"/>
      <c r="AW333" s="1154"/>
      <c r="AX333" s="1154"/>
      <c r="AY333" s="1154"/>
      <c r="AZ333" s="1154"/>
      <c r="BA333" s="1154"/>
      <c r="BB333" s="1154"/>
      <c r="BC333" s="1154"/>
      <c r="BD333" s="1154"/>
      <c r="BE333" s="1154"/>
      <c r="BF333" s="1154"/>
      <c r="BG333" s="1154"/>
      <c r="BH333" s="1154"/>
      <c r="BI333" s="1154"/>
      <c r="BJ333" s="1154"/>
      <c r="BK333" s="1154"/>
      <c r="BL333" s="1154"/>
      <c r="BM333" s="1154"/>
      <c r="BN333" s="1154"/>
      <c r="BO333" s="1154"/>
      <c r="BP333" s="1154"/>
      <c r="BQ333" s="1154"/>
      <c r="BR333" s="1154"/>
      <c r="BS333" s="1154"/>
      <c r="BT333" s="1154"/>
      <c r="BU333" s="1154"/>
      <c r="BV333" s="1154"/>
      <c r="BW333" s="1154"/>
      <c r="BX333" s="1154"/>
      <c r="BY333" s="1154"/>
      <c r="BZ333" s="1154"/>
      <c r="CA333" s="1154"/>
      <c r="CB333" s="1154"/>
    </row>
    <row r="334" spans="1:80" s="1156" customFormat="1" x14ac:dyDescent="0.3">
      <c r="A334" s="1206" t="s">
        <v>1804</v>
      </c>
      <c r="B334" s="1207"/>
      <c r="C334" s="1208" t="s">
        <v>1186</v>
      </c>
      <c r="D334" s="1154"/>
      <c r="E334" s="1209">
        <v>1924650</v>
      </c>
      <c r="F334" s="1209">
        <v>15371920</v>
      </c>
      <c r="G334" s="1209">
        <v>0</v>
      </c>
      <c r="H334" s="1209">
        <v>43759098</v>
      </c>
      <c r="I334" s="1209">
        <v>4354765</v>
      </c>
      <c r="J334" s="1209">
        <v>257340</v>
      </c>
      <c r="K334" s="1209">
        <v>1545164</v>
      </c>
      <c r="L334" s="1209">
        <v>2008928</v>
      </c>
      <c r="M334" s="1209">
        <v>49641404</v>
      </c>
      <c r="N334" s="1209">
        <v>87797</v>
      </c>
      <c r="O334" s="1209">
        <v>970647</v>
      </c>
      <c r="P334" s="1209">
        <v>1776767</v>
      </c>
      <c r="Q334" s="1209">
        <v>33542236</v>
      </c>
      <c r="R334" s="1209">
        <v>17632561</v>
      </c>
      <c r="S334" s="1209">
        <v>7012997</v>
      </c>
      <c r="T334" s="1209">
        <v>16209090</v>
      </c>
      <c r="U334" s="1209">
        <v>0</v>
      </c>
      <c r="V334" s="1209">
        <v>20111575</v>
      </c>
      <c r="W334" s="1209">
        <v>32613</v>
      </c>
      <c r="X334" s="1209">
        <v>9410727</v>
      </c>
      <c r="Y334" s="1209">
        <v>15710059</v>
      </c>
      <c r="Z334" s="1209">
        <v>5638708</v>
      </c>
      <c r="AA334" s="1209">
        <v>1588247</v>
      </c>
      <c r="AB334" s="1209">
        <v>5948955</v>
      </c>
      <c r="AC334" s="1209">
        <v>1120712</v>
      </c>
      <c r="AD334" s="1209">
        <v>323967</v>
      </c>
      <c r="AE334" s="1209">
        <v>1161359</v>
      </c>
      <c r="AF334" s="1209">
        <v>3935299</v>
      </c>
      <c r="AG334" s="1209">
        <v>161924</v>
      </c>
      <c r="AH334" s="1209">
        <v>57495</v>
      </c>
      <c r="AI334" s="1209">
        <v>91285</v>
      </c>
      <c r="AJ334" s="1209">
        <v>2577362</v>
      </c>
      <c r="AK334" s="1209">
        <v>8342600</v>
      </c>
      <c r="AL334" s="1209">
        <v>183392</v>
      </c>
      <c r="AM334" s="1209">
        <v>26144</v>
      </c>
      <c r="AN334" s="1209">
        <v>21394873</v>
      </c>
      <c r="AO334" s="1209">
        <v>18318678</v>
      </c>
      <c r="AP334" s="1209">
        <v>301943</v>
      </c>
      <c r="AQ334" s="1209">
        <v>4266498</v>
      </c>
      <c r="AR334" s="1209">
        <v>25573786</v>
      </c>
      <c r="AS334" s="1209">
        <v>2774022</v>
      </c>
      <c r="AT334" s="1209">
        <v>654841</v>
      </c>
      <c r="AU334" s="1209">
        <v>4781660</v>
      </c>
      <c r="AV334" s="1209">
        <v>10864000</v>
      </c>
      <c r="AW334" s="1209">
        <v>115739</v>
      </c>
      <c r="AX334" s="1209">
        <v>840880</v>
      </c>
      <c r="AY334" s="1209">
        <v>2915717</v>
      </c>
      <c r="AZ334" s="1209">
        <v>4073079</v>
      </c>
      <c r="BA334" s="1209">
        <v>4113437</v>
      </c>
      <c r="BB334" s="1209">
        <v>52028</v>
      </c>
      <c r="BC334" s="1209">
        <v>2494601</v>
      </c>
      <c r="BD334" s="1209">
        <v>0</v>
      </c>
      <c r="BE334" s="1209">
        <v>67554</v>
      </c>
      <c r="BF334" s="1209">
        <v>27708342</v>
      </c>
      <c r="BG334" s="1209">
        <v>0</v>
      </c>
      <c r="BH334" s="1209">
        <v>47685</v>
      </c>
      <c r="BI334" s="1209">
        <v>3009729</v>
      </c>
      <c r="BJ334" s="1209">
        <v>2485704</v>
      </c>
      <c r="BK334" s="1209">
        <v>701122</v>
      </c>
      <c r="BL334" s="1209">
        <v>9454369</v>
      </c>
      <c r="BM334" s="1209">
        <v>4163206</v>
      </c>
      <c r="BN334" s="1209">
        <v>40551</v>
      </c>
      <c r="BO334" s="1209">
        <v>6868959</v>
      </c>
      <c r="BP334" s="1209">
        <v>1565361</v>
      </c>
      <c r="BQ334" s="1209">
        <v>1043552</v>
      </c>
      <c r="BR334" s="1209">
        <v>1983298</v>
      </c>
      <c r="BS334" s="1209">
        <v>1104978</v>
      </c>
      <c r="BT334" s="1209">
        <v>25453289</v>
      </c>
      <c r="BU334" s="1209">
        <v>2020087</v>
      </c>
      <c r="BV334" s="1209">
        <v>2776433</v>
      </c>
      <c r="BW334" s="1209">
        <v>1435483</v>
      </c>
      <c r="BX334" s="1209">
        <v>782442</v>
      </c>
      <c r="BY334" s="1209">
        <v>31281</v>
      </c>
      <c r="BZ334" s="1209">
        <v>40519</v>
      </c>
      <c r="CA334" s="1209">
        <v>18193742</v>
      </c>
      <c r="CB334" s="1209">
        <v>157054</v>
      </c>
    </row>
    <row r="335" spans="1:80" s="1156" customFormat="1" ht="43.2" x14ac:dyDescent="0.3">
      <c r="A335" s="1210"/>
      <c r="B335" s="1210"/>
      <c r="C335" s="1210"/>
      <c r="D335" s="1154"/>
      <c r="E335" s="1211" t="s">
        <v>1358</v>
      </c>
      <c r="F335" s="1211" t="s">
        <v>1359</v>
      </c>
      <c r="G335" s="1211" t="b">
        <v>0</v>
      </c>
      <c r="H335" s="1211" t="s">
        <v>1359</v>
      </c>
      <c r="I335" s="1211" t="s">
        <v>1358</v>
      </c>
      <c r="J335" s="1211" t="s">
        <v>1360</v>
      </c>
      <c r="K335" s="1211" t="s">
        <v>1358</v>
      </c>
      <c r="L335" s="1211" t="s">
        <v>1358</v>
      </c>
      <c r="M335" s="1211" t="s">
        <v>1359</v>
      </c>
      <c r="N335" s="1211" t="s">
        <v>1361</v>
      </c>
      <c r="O335" s="1211" t="s">
        <v>1360</v>
      </c>
      <c r="P335" s="1211" t="s">
        <v>1358</v>
      </c>
      <c r="Q335" s="1211" t="s">
        <v>1359</v>
      </c>
      <c r="R335" s="1211" t="s">
        <v>1359</v>
      </c>
      <c r="S335" s="1211" t="s">
        <v>1358</v>
      </c>
      <c r="T335" s="1211" t="s">
        <v>1359</v>
      </c>
      <c r="U335" s="1211" t="b">
        <v>0</v>
      </c>
      <c r="V335" s="1211" t="s">
        <v>1359</v>
      </c>
      <c r="W335" s="1211" t="s">
        <v>1361</v>
      </c>
      <c r="X335" s="1211" t="s">
        <v>1358</v>
      </c>
      <c r="Y335" s="1211" t="s">
        <v>1359</v>
      </c>
      <c r="Z335" s="1211" t="s">
        <v>1358</v>
      </c>
      <c r="AA335" s="1211" t="s">
        <v>1358</v>
      </c>
      <c r="AB335" s="1211" t="s">
        <v>1358</v>
      </c>
      <c r="AC335" s="1211" t="s">
        <v>1358</v>
      </c>
      <c r="AD335" s="1211" t="s">
        <v>1360</v>
      </c>
      <c r="AE335" s="1211" t="s">
        <v>1358</v>
      </c>
      <c r="AF335" s="1211" t="s">
        <v>1358</v>
      </c>
      <c r="AG335" s="1211" t="s">
        <v>1360</v>
      </c>
      <c r="AH335" s="1211" t="s">
        <v>1361</v>
      </c>
      <c r="AI335" s="1211" t="s">
        <v>1361</v>
      </c>
      <c r="AJ335" s="1211" t="s">
        <v>1358</v>
      </c>
      <c r="AK335" s="1211" t="s">
        <v>1358</v>
      </c>
      <c r="AL335" s="1211" t="s">
        <v>1360</v>
      </c>
      <c r="AM335" s="1211" t="s">
        <v>1361</v>
      </c>
      <c r="AN335" s="1211" t="s">
        <v>1359</v>
      </c>
      <c r="AO335" s="1211" t="s">
        <v>1359</v>
      </c>
      <c r="AP335" s="1211" t="s">
        <v>1360</v>
      </c>
      <c r="AQ335" s="1211" t="s">
        <v>1358</v>
      </c>
      <c r="AR335" s="1211" t="s">
        <v>1359</v>
      </c>
      <c r="AS335" s="1211" t="s">
        <v>1358</v>
      </c>
      <c r="AT335" s="1211" t="s">
        <v>1360</v>
      </c>
      <c r="AU335" s="1211" t="s">
        <v>1358</v>
      </c>
      <c r="AV335" s="1211" t="s">
        <v>1359</v>
      </c>
      <c r="AW335" s="1211" t="s">
        <v>1360</v>
      </c>
      <c r="AX335" s="1211" t="s">
        <v>1360</v>
      </c>
      <c r="AY335" s="1211" t="s">
        <v>1358</v>
      </c>
      <c r="AZ335" s="1211" t="s">
        <v>1358</v>
      </c>
      <c r="BA335" s="1211" t="s">
        <v>1358</v>
      </c>
      <c r="BB335" s="1211" t="s">
        <v>1361</v>
      </c>
      <c r="BC335" s="1211" t="s">
        <v>1358</v>
      </c>
      <c r="BD335" s="1211" t="b">
        <v>0</v>
      </c>
      <c r="BE335" s="1211" t="s">
        <v>1361</v>
      </c>
      <c r="BF335" s="1211" t="s">
        <v>1359</v>
      </c>
      <c r="BG335" s="1211" t="b">
        <v>0</v>
      </c>
      <c r="BH335" s="1211" t="s">
        <v>1361</v>
      </c>
      <c r="BI335" s="1211" t="s">
        <v>1358</v>
      </c>
      <c r="BJ335" s="1211" t="s">
        <v>1358</v>
      </c>
      <c r="BK335" s="1211" t="s">
        <v>1360</v>
      </c>
      <c r="BL335" s="1211" t="s">
        <v>1358</v>
      </c>
      <c r="BM335" s="1211" t="s">
        <v>1358</v>
      </c>
      <c r="BN335" s="1211" t="s">
        <v>1361</v>
      </c>
      <c r="BO335" s="1211" t="s">
        <v>1358</v>
      </c>
      <c r="BP335" s="1211" t="s">
        <v>1358</v>
      </c>
      <c r="BQ335" s="1211" t="s">
        <v>1358</v>
      </c>
      <c r="BR335" s="1211" t="s">
        <v>1358</v>
      </c>
      <c r="BS335" s="1211" t="s">
        <v>1358</v>
      </c>
      <c r="BT335" s="1211" t="s">
        <v>1359</v>
      </c>
      <c r="BU335" s="1211" t="s">
        <v>1358</v>
      </c>
      <c r="BV335" s="1211" t="s">
        <v>1358</v>
      </c>
      <c r="BW335" s="1211" t="s">
        <v>1358</v>
      </c>
      <c r="BX335" s="1211" t="s">
        <v>1360</v>
      </c>
      <c r="BY335" s="1211" t="s">
        <v>1361</v>
      </c>
      <c r="BZ335" s="1211" t="s">
        <v>1361</v>
      </c>
      <c r="CA335" s="1211" t="s">
        <v>1359</v>
      </c>
      <c r="CB335" s="1211" t="s">
        <v>1360</v>
      </c>
    </row>
    <row r="336" spans="1:80" s="1186" customFormat="1" x14ac:dyDescent="0.3">
      <c r="A336" s="1210"/>
      <c r="B336" s="1210"/>
      <c r="C336" s="1210"/>
      <c r="D336" s="1154"/>
      <c r="E336" s="1211" t="s">
        <v>1805</v>
      </c>
      <c r="F336" s="1211" t="s">
        <v>1806</v>
      </c>
      <c r="G336" s="1211" t="b">
        <v>0</v>
      </c>
      <c r="H336" s="1211" t="s">
        <v>1806</v>
      </c>
      <c r="I336" s="1211" t="s">
        <v>1805</v>
      </c>
      <c r="J336" s="1211" t="s">
        <v>1807</v>
      </c>
      <c r="K336" s="1211" t="s">
        <v>1805</v>
      </c>
      <c r="L336" s="1211" t="s">
        <v>1805</v>
      </c>
      <c r="M336" s="1211" t="s">
        <v>1806</v>
      </c>
      <c r="N336" s="1211" t="s">
        <v>1808</v>
      </c>
      <c r="O336" s="1211" t="s">
        <v>1807</v>
      </c>
      <c r="P336" s="1211" t="s">
        <v>1805</v>
      </c>
      <c r="Q336" s="1211" t="s">
        <v>1806</v>
      </c>
      <c r="R336" s="1211" t="s">
        <v>1806</v>
      </c>
      <c r="S336" s="1211" t="s">
        <v>1805</v>
      </c>
      <c r="T336" s="1211" t="s">
        <v>1806</v>
      </c>
      <c r="U336" s="1211" t="b">
        <v>0</v>
      </c>
      <c r="V336" s="1211" t="s">
        <v>1806</v>
      </c>
      <c r="W336" s="1211" t="s">
        <v>1808</v>
      </c>
      <c r="X336" s="1211" t="s">
        <v>1805</v>
      </c>
      <c r="Y336" s="1211" t="s">
        <v>1806</v>
      </c>
      <c r="Z336" s="1211" t="s">
        <v>1805</v>
      </c>
      <c r="AA336" s="1211" t="s">
        <v>1805</v>
      </c>
      <c r="AB336" s="1211" t="s">
        <v>1805</v>
      </c>
      <c r="AC336" s="1211" t="s">
        <v>1805</v>
      </c>
      <c r="AD336" s="1211" t="s">
        <v>1807</v>
      </c>
      <c r="AE336" s="1211" t="s">
        <v>1805</v>
      </c>
      <c r="AF336" s="1211" t="s">
        <v>1805</v>
      </c>
      <c r="AG336" s="1211" t="s">
        <v>1807</v>
      </c>
      <c r="AH336" s="1211" t="s">
        <v>1808</v>
      </c>
      <c r="AI336" s="1211" t="s">
        <v>1808</v>
      </c>
      <c r="AJ336" s="1211" t="s">
        <v>1805</v>
      </c>
      <c r="AK336" s="1211" t="s">
        <v>1805</v>
      </c>
      <c r="AL336" s="1211" t="s">
        <v>1807</v>
      </c>
      <c r="AM336" s="1211" t="s">
        <v>1808</v>
      </c>
      <c r="AN336" s="1211" t="s">
        <v>1806</v>
      </c>
      <c r="AO336" s="1211" t="s">
        <v>1806</v>
      </c>
      <c r="AP336" s="1211" t="s">
        <v>1807</v>
      </c>
      <c r="AQ336" s="1211" t="s">
        <v>1805</v>
      </c>
      <c r="AR336" s="1211" t="s">
        <v>1806</v>
      </c>
      <c r="AS336" s="1211" t="s">
        <v>1805</v>
      </c>
      <c r="AT336" s="1211" t="s">
        <v>1807</v>
      </c>
      <c r="AU336" s="1211" t="s">
        <v>1805</v>
      </c>
      <c r="AV336" s="1211" t="s">
        <v>1806</v>
      </c>
      <c r="AW336" s="1211" t="s">
        <v>1807</v>
      </c>
      <c r="AX336" s="1211" t="s">
        <v>1807</v>
      </c>
      <c r="AY336" s="1211" t="s">
        <v>1805</v>
      </c>
      <c r="AZ336" s="1211" t="s">
        <v>1805</v>
      </c>
      <c r="BA336" s="1211" t="s">
        <v>1805</v>
      </c>
      <c r="BB336" s="1211" t="s">
        <v>1808</v>
      </c>
      <c r="BC336" s="1211" t="s">
        <v>1805</v>
      </c>
      <c r="BD336" s="1211" t="b">
        <v>0</v>
      </c>
      <c r="BE336" s="1211" t="s">
        <v>1808</v>
      </c>
      <c r="BF336" s="1211" t="s">
        <v>1806</v>
      </c>
      <c r="BG336" s="1211" t="b">
        <v>0</v>
      </c>
      <c r="BH336" s="1211" t="s">
        <v>1808</v>
      </c>
      <c r="BI336" s="1211" t="s">
        <v>1805</v>
      </c>
      <c r="BJ336" s="1211" t="s">
        <v>1805</v>
      </c>
      <c r="BK336" s="1211" t="s">
        <v>1807</v>
      </c>
      <c r="BL336" s="1211" t="s">
        <v>1805</v>
      </c>
      <c r="BM336" s="1211" t="s">
        <v>1805</v>
      </c>
      <c r="BN336" s="1211" t="s">
        <v>1808</v>
      </c>
      <c r="BO336" s="1211" t="s">
        <v>1805</v>
      </c>
      <c r="BP336" s="1211" t="s">
        <v>1805</v>
      </c>
      <c r="BQ336" s="1211" t="s">
        <v>1805</v>
      </c>
      <c r="BR336" s="1211" t="s">
        <v>1805</v>
      </c>
      <c r="BS336" s="1211" t="s">
        <v>1805</v>
      </c>
      <c r="BT336" s="1211" t="s">
        <v>1806</v>
      </c>
      <c r="BU336" s="1211" t="s">
        <v>1805</v>
      </c>
      <c r="BV336" s="1211" t="s">
        <v>1805</v>
      </c>
      <c r="BW336" s="1211" t="s">
        <v>1805</v>
      </c>
      <c r="BX336" s="1211" t="s">
        <v>1807</v>
      </c>
      <c r="BY336" s="1211" t="s">
        <v>1808</v>
      </c>
      <c r="BZ336" s="1211" t="s">
        <v>1808</v>
      </c>
      <c r="CA336" s="1211" t="s">
        <v>1806</v>
      </c>
      <c r="CB336" s="1211" t="s">
        <v>1807</v>
      </c>
    </row>
    <row r="337" spans="1:80" s="1156" customFormat="1" x14ac:dyDescent="0.3">
      <c r="A337" s="1212" t="s">
        <v>1187</v>
      </c>
      <c r="B337" s="1212"/>
      <c r="C337" s="1212" t="s">
        <v>959</v>
      </c>
      <c r="D337" s="1154"/>
      <c r="E337" s="1209">
        <v>230455</v>
      </c>
      <c r="F337" s="1209">
        <v>20626751</v>
      </c>
      <c r="G337" s="1209">
        <v>0</v>
      </c>
      <c r="H337" s="1209">
        <v>30687541</v>
      </c>
      <c r="I337" s="1209">
        <v>2167590</v>
      </c>
      <c r="J337" s="1209">
        <v>407951</v>
      </c>
      <c r="K337" s="1209">
        <v>2456261</v>
      </c>
      <c r="L337" s="1209">
        <v>966873</v>
      </c>
      <c r="M337" s="1209">
        <v>16524937</v>
      </c>
      <c r="N337" s="1209">
        <v>198982</v>
      </c>
      <c r="O337" s="1209">
        <v>548418</v>
      </c>
      <c r="P337" s="1209">
        <v>510345</v>
      </c>
      <c r="Q337" s="1209">
        <v>13203588</v>
      </c>
      <c r="R337" s="1209">
        <v>16232593</v>
      </c>
      <c r="S337" s="1209">
        <v>2543746</v>
      </c>
      <c r="T337" s="1209">
        <v>8084031</v>
      </c>
      <c r="U337" s="1209">
        <v>0</v>
      </c>
      <c r="V337" s="1209">
        <v>4893784</v>
      </c>
      <c r="W337" s="1209">
        <v>164114</v>
      </c>
      <c r="X337" s="1209">
        <v>11473485</v>
      </c>
      <c r="Y337" s="1209">
        <v>5016410</v>
      </c>
      <c r="Z337" s="1209">
        <v>4386490</v>
      </c>
      <c r="AA337" s="1209">
        <v>1667756</v>
      </c>
      <c r="AB337" s="1209">
        <v>3222788</v>
      </c>
      <c r="AC337" s="1209">
        <v>1118439</v>
      </c>
      <c r="AD337" s="1209">
        <v>214797</v>
      </c>
      <c r="AE337" s="1209">
        <v>1264809</v>
      </c>
      <c r="AF337" s="1209">
        <v>1321521</v>
      </c>
      <c r="AG337" s="1209">
        <v>67476</v>
      </c>
      <c r="AH337" s="1209">
        <v>65302</v>
      </c>
      <c r="AI337" s="1209">
        <v>132191</v>
      </c>
      <c r="AJ337" s="1209">
        <v>1959743</v>
      </c>
      <c r="AK337" s="1209">
        <v>2039385</v>
      </c>
      <c r="AL337" s="1209">
        <v>251742</v>
      </c>
      <c r="AM337" s="1209">
        <v>113941</v>
      </c>
      <c r="AN337" s="1209">
        <v>6610116</v>
      </c>
      <c r="AO337" s="1209">
        <v>10600669</v>
      </c>
      <c r="AP337" s="1209">
        <v>587692</v>
      </c>
      <c r="AQ337" s="1209">
        <v>6756897</v>
      </c>
      <c r="AR337" s="1209">
        <v>8225380</v>
      </c>
      <c r="AS337" s="1209">
        <v>2464518</v>
      </c>
      <c r="AT337" s="1209">
        <v>412481</v>
      </c>
      <c r="AU337" s="1209">
        <v>2192428</v>
      </c>
      <c r="AV337" s="1209">
        <v>4701269</v>
      </c>
      <c r="AW337" s="1209">
        <v>146537</v>
      </c>
      <c r="AX337" s="1209">
        <v>413815</v>
      </c>
      <c r="AY337" s="1209">
        <v>3160183</v>
      </c>
      <c r="AZ337" s="1209">
        <v>2171978</v>
      </c>
      <c r="BA337" s="1209">
        <v>1034112</v>
      </c>
      <c r="BB337" s="1209">
        <v>98139</v>
      </c>
      <c r="BC337" s="1209">
        <v>1275706</v>
      </c>
      <c r="BD337" s="1209">
        <v>0</v>
      </c>
      <c r="BE337" s="1209">
        <v>380544</v>
      </c>
      <c r="BF337" s="1209">
        <v>2580625</v>
      </c>
      <c r="BG337" s="1209">
        <v>0</v>
      </c>
      <c r="BH337" s="1209">
        <v>151938</v>
      </c>
      <c r="BI337" s="1209">
        <v>2696780</v>
      </c>
      <c r="BJ337" s="1209">
        <v>3219557</v>
      </c>
      <c r="BK337" s="1209">
        <v>93328</v>
      </c>
      <c r="BL337" s="1209">
        <v>2466858</v>
      </c>
      <c r="BM337" s="1209">
        <v>5673126</v>
      </c>
      <c r="BN337" s="1209">
        <v>136189</v>
      </c>
      <c r="BO337" s="1209">
        <v>3306575</v>
      </c>
      <c r="BP337" s="1209">
        <v>3353718</v>
      </c>
      <c r="BQ337" s="1209">
        <v>1460119</v>
      </c>
      <c r="BR337" s="1209">
        <v>2534604</v>
      </c>
      <c r="BS337" s="1209">
        <v>2035149</v>
      </c>
      <c r="BT337" s="1209">
        <v>8873551</v>
      </c>
      <c r="BU337" s="1209">
        <v>2107484</v>
      </c>
      <c r="BV337" s="1209">
        <v>1610680</v>
      </c>
      <c r="BW337" s="1209">
        <v>938874</v>
      </c>
      <c r="BX337" s="1209">
        <v>807990</v>
      </c>
      <c r="BY337" s="1209">
        <v>165153</v>
      </c>
      <c r="BZ337" s="1209">
        <v>192770</v>
      </c>
      <c r="CA337" s="1209">
        <v>12254939</v>
      </c>
      <c r="CB337" s="1209">
        <v>94313</v>
      </c>
    </row>
    <row r="338" spans="1:80" s="1156" customFormat="1" x14ac:dyDescent="0.3">
      <c r="A338" s="1212" t="s">
        <v>794</v>
      </c>
      <c r="B338" s="1212"/>
      <c r="C338" s="1212" t="s">
        <v>802</v>
      </c>
      <c r="D338" s="1154"/>
      <c r="E338" s="1209">
        <v>1924650</v>
      </c>
      <c r="F338" s="1209">
        <v>15371920</v>
      </c>
      <c r="G338" s="1209">
        <v>0</v>
      </c>
      <c r="H338" s="1209">
        <v>43759098</v>
      </c>
      <c r="I338" s="1209">
        <v>4354765</v>
      </c>
      <c r="J338" s="1209">
        <v>257340</v>
      </c>
      <c r="K338" s="1209">
        <v>1545164</v>
      </c>
      <c r="L338" s="1209">
        <v>2008928</v>
      </c>
      <c r="M338" s="1209">
        <v>49641404</v>
      </c>
      <c r="N338" s="1209">
        <v>87797</v>
      </c>
      <c r="O338" s="1209">
        <v>970647</v>
      </c>
      <c r="P338" s="1209">
        <v>1776767</v>
      </c>
      <c r="Q338" s="1209">
        <v>33542236</v>
      </c>
      <c r="R338" s="1209">
        <v>17632561</v>
      </c>
      <c r="S338" s="1209">
        <v>7012997</v>
      </c>
      <c r="T338" s="1209">
        <v>16209090</v>
      </c>
      <c r="U338" s="1209">
        <v>0</v>
      </c>
      <c r="V338" s="1209">
        <v>20111575</v>
      </c>
      <c r="W338" s="1209">
        <v>32613</v>
      </c>
      <c r="X338" s="1209">
        <v>9410727</v>
      </c>
      <c r="Y338" s="1209">
        <v>15710059</v>
      </c>
      <c r="Z338" s="1209">
        <v>5638708</v>
      </c>
      <c r="AA338" s="1209">
        <v>1588247</v>
      </c>
      <c r="AB338" s="1209">
        <v>5948955</v>
      </c>
      <c r="AC338" s="1209">
        <v>1120712</v>
      </c>
      <c r="AD338" s="1209">
        <v>323967</v>
      </c>
      <c r="AE338" s="1209">
        <v>1161359</v>
      </c>
      <c r="AF338" s="1209">
        <v>3935299</v>
      </c>
      <c r="AG338" s="1209">
        <v>161924</v>
      </c>
      <c r="AH338" s="1209">
        <v>57495</v>
      </c>
      <c r="AI338" s="1209">
        <v>91285</v>
      </c>
      <c r="AJ338" s="1209">
        <v>2577362</v>
      </c>
      <c r="AK338" s="1209">
        <v>8342600</v>
      </c>
      <c r="AL338" s="1209">
        <v>183392</v>
      </c>
      <c r="AM338" s="1209">
        <v>26144</v>
      </c>
      <c r="AN338" s="1209">
        <v>21394873</v>
      </c>
      <c r="AO338" s="1209">
        <v>18318678</v>
      </c>
      <c r="AP338" s="1209">
        <v>301943</v>
      </c>
      <c r="AQ338" s="1209">
        <v>4266498</v>
      </c>
      <c r="AR338" s="1209">
        <v>25573786</v>
      </c>
      <c r="AS338" s="1209">
        <v>2774022</v>
      </c>
      <c r="AT338" s="1209">
        <v>654841</v>
      </c>
      <c r="AU338" s="1209">
        <v>4781660</v>
      </c>
      <c r="AV338" s="1209">
        <v>10864000</v>
      </c>
      <c r="AW338" s="1209">
        <v>115739</v>
      </c>
      <c r="AX338" s="1209">
        <v>840880</v>
      </c>
      <c r="AY338" s="1209">
        <v>2915717</v>
      </c>
      <c r="AZ338" s="1209">
        <v>4073079</v>
      </c>
      <c r="BA338" s="1209">
        <v>4113437</v>
      </c>
      <c r="BB338" s="1209">
        <v>52028</v>
      </c>
      <c r="BC338" s="1209">
        <v>2494601</v>
      </c>
      <c r="BD338" s="1209">
        <v>0</v>
      </c>
      <c r="BE338" s="1209">
        <v>67554</v>
      </c>
      <c r="BF338" s="1209">
        <v>27708342</v>
      </c>
      <c r="BG338" s="1209">
        <v>0</v>
      </c>
      <c r="BH338" s="1209">
        <v>47685</v>
      </c>
      <c r="BI338" s="1209">
        <v>3009729</v>
      </c>
      <c r="BJ338" s="1209">
        <v>2485704</v>
      </c>
      <c r="BK338" s="1209">
        <v>701122</v>
      </c>
      <c r="BL338" s="1209">
        <v>9454369</v>
      </c>
      <c r="BM338" s="1209">
        <v>4163206</v>
      </c>
      <c r="BN338" s="1209">
        <v>40551</v>
      </c>
      <c r="BO338" s="1209">
        <v>6868959</v>
      </c>
      <c r="BP338" s="1209">
        <v>1565361</v>
      </c>
      <c r="BQ338" s="1209">
        <v>1043552</v>
      </c>
      <c r="BR338" s="1209">
        <v>1983298</v>
      </c>
      <c r="BS338" s="1209">
        <v>1104978</v>
      </c>
      <c r="BT338" s="1209">
        <v>25453289</v>
      </c>
      <c r="BU338" s="1209">
        <v>2020087</v>
      </c>
      <c r="BV338" s="1209">
        <v>2776433</v>
      </c>
      <c r="BW338" s="1209">
        <v>1435483</v>
      </c>
      <c r="BX338" s="1209">
        <v>782442</v>
      </c>
      <c r="BY338" s="1209">
        <v>31281</v>
      </c>
      <c r="BZ338" s="1209">
        <v>40519</v>
      </c>
      <c r="CA338" s="1209">
        <v>18193742</v>
      </c>
      <c r="CB338" s="1209">
        <v>157054</v>
      </c>
    </row>
    <row r="339" spans="1:80" s="1186" customFormat="1" x14ac:dyDescent="0.3">
      <c r="A339" s="1212" t="s">
        <v>1188</v>
      </c>
      <c r="B339" s="1212"/>
      <c r="C339" s="1213" t="s">
        <v>958</v>
      </c>
      <c r="D339" s="1154"/>
      <c r="E339" s="1214">
        <v>0.11973865378120697</v>
      </c>
      <c r="F339" s="1214">
        <v>1.3418461064070071</v>
      </c>
      <c r="G339" s="1214" t="e">
        <v>#DIV/0!</v>
      </c>
      <c r="H339" s="1214">
        <v>0.70128367362599664</v>
      </c>
      <c r="I339" s="1214">
        <v>0.49775131379075566</v>
      </c>
      <c r="J339" s="1214">
        <v>1.5852607445402969</v>
      </c>
      <c r="K339" s="1214">
        <v>1.5896442060519143</v>
      </c>
      <c r="L339" s="1214">
        <v>0.48128803023303973</v>
      </c>
      <c r="M339" s="1214">
        <v>0.33288617300187562</v>
      </c>
      <c r="N339" s="1214">
        <v>2.2663872341879565</v>
      </c>
      <c r="O339" s="1214">
        <v>0.56500251893839881</v>
      </c>
      <c r="P339" s="1214">
        <v>0.28723237205553681</v>
      </c>
      <c r="Q339" s="1214">
        <v>0.39364066247700363</v>
      </c>
      <c r="R339" s="1214">
        <v>0.92060325213109995</v>
      </c>
      <c r="S339" s="1214">
        <v>0.36271882049856857</v>
      </c>
      <c r="T339" s="1214">
        <v>0.49873441383816119</v>
      </c>
      <c r="U339" s="1214" t="e">
        <v>#DIV/0!</v>
      </c>
      <c r="V339" s="1214">
        <v>0.24333171320495783</v>
      </c>
      <c r="W339" s="1214">
        <v>5.0321650875417774</v>
      </c>
      <c r="X339" s="1214">
        <v>1.2191922048105317</v>
      </c>
      <c r="Y339" s="1214">
        <v>0.31931197712242837</v>
      </c>
      <c r="Z339" s="1214">
        <v>0.77792465933685517</v>
      </c>
      <c r="AA339" s="1214">
        <v>1.0500608532551927</v>
      </c>
      <c r="AB339" s="1214">
        <v>0.54174018798259527</v>
      </c>
      <c r="AC339" s="1214">
        <v>0.99797182505407278</v>
      </c>
      <c r="AD339" s="1214">
        <v>0.66302123364416743</v>
      </c>
      <c r="AE339" s="1214">
        <v>1.0890766765487674</v>
      </c>
      <c r="AF339" s="1214">
        <v>0.33581209458290207</v>
      </c>
      <c r="AG339" s="1214">
        <v>0.41671401398186803</v>
      </c>
      <c r="AH339" s="1214">
        <v>1.1357857204974346</v>
      </c>
      <c r="AI339" s="1214">
        <v>1.4481130525277977</v>
      </c>
      <c r="AJ339" s="1214">
        <v>0.76036777138795408</v>
      </c>
      <c r="AK339" s="1214">
        <v>0.24445436674418047</v>
      </c>
      <c r="AL339" s="1214">
        <v>1.3726989181643692</v>
      </c>
      <c r="AM339" s="1214">
        <v>4.3582083843329249</v>
      </c>
      <c r="AN339" s="1214">
        <v>0.3089579452049096</v>
      </c>
      <c r="AO339" s="1214">
        <v>0.57868089607776285</v>
      </c>
      <c r="AP339" s="1214">
        <v>1.9463673607270247</v>
      </c>
      <c r="AQ339" s="1214">
        <v>1.5837103404243948</v>
      </c>
      <c r="AR339" s="1214">
        <v>0.3216332536762449</v>
      </c>
      <c r="AS339" s="1214">
        <v>0.88842770533182502</v>
      </c>
      <c r="AT339" s="1214">
        <v>0.62989489051540759</v>
      </c>
      <c r="AU339" s="1214">
        <v>0.45850771489399078</v>
      </c>
      <c r="AV339" s="1214">
        <v>0.43273831001472757</v>
      </c>
      <c r="AW339" s="1214">
        <v>1.2660987221247808</v>
      </c>
      <c r="AX339" s="1214">
        <v>0.49212134906288652</v>
      </c>
      <c r="AY339" s="1214">
        <v>1.0838442139617803</v>
      </c>
      <c r="AZ339" s="1214">
        <v>0.53325211713300924</v>
      </c>
      <c r="BA339" s="1214">
        <v>0.25139852634184018</v>
      </c>
      <c r="BB339" s="1214">
        <v>1.8862727761974321</v>
      </c>
      <c r="BC339" s="1214">
        <v>0.51138679091365713</v>
      </c>
      <c r="BD339" s="1214" t="e">
        <v>#DIV/0!</v>
      </c>
      <c r="BE339" s="1214">
        <v>5.633182343014477</v>
      </c>
      <c r="BF339" s="1214">
        <v>9.3135309214820577E-2</v>
      </c>
      <c r="BG339" s="1214" t="e">
        <v>#DIV/0!</v>
      </c>
      <c r="BH339" s="1214">
        <v>3.1862849952815351</v>
      </c>
      <c r="BI339" s="1214">
        <v>0.89602087098207184</v>
      </c>
      <c r="BJ339" s="1214">
        <v>1.2952294400298667</v>
      </c>
      <c r="BK339" s="1214">
        <v>0.13311235419798551</v>
      </c>
      <c r="BL339" s="1214">
        <v>0.26092254279476507</v>
      </c>
      <c r="BM339" s="1214">
        <v>1.3626820291861608</v>
      </c>
      <c r="BN339" s="1214">
        <v>3.3584621834233435</v>
      </c>
      <c r="BO339" s="1214">
        <v>0.4813793472926538</v>
      </c>
      <c r="BP339" s="1214">
        <v>2.1424565962739583</v>
      </c>
      <c r="BQ339" s="1214">
        <v>1.3991818328171477</v>
      </c>
      <c r="BR339" s="1214">
        <v>1.2779743639130379</v>
      </c>
      <c r="BS339" s="1214">
        <v>1.8418004702356066</v>
      </c>
      <c r="BT339" s="1214">
        <v>0.34862099746716424</v>
      </c>
      <c r="BU339" s="1214">
        <v>1.0432639782346007</v>
      </c>
      <c r="BV339" s="1214">
        <v>0.58012565042988606</v>
      </c>
      <c r="BW339" s="1214">
        <v>0.65404745301755574</v>
      </c>
      <c r="BX339" s="1214">
        <v>1.032651621462038</v>
      </c>
      <c r="BY339" s="1214">
        <v>5.2796585786899399</v>
      </c>
      <c r="BZ339" s="1214">
        <v>4.7575211629112264</v>
      </c>
      <c r="CA339" s="1214">
        <v>0.67357990456278871</v>
      </c>
      <c r="CB339" s="1214">
        <v>0.60051319928177571</v>
      </c>
    </row>
    <row r="340" spans="1:80" s="1156" customFormat="1" x14ac:dyDescent="0.3">
      <c r="A340" s="1212" t="s">
        <v>797</v>
      </c>
      <c r="B340" s="1212"/>
      <c r="C340" s="1215" t="s">
        <v>803</v>
      </c>
      <c r="D340" s="1154"/>
      <c r="E340" s="1200">
        <v>0</v>
      </c>
      <c r="F340" s="1200">
        <v>0</v>
      </c>
      <c r="G340" s="1200">
        <v>0</v>
      </c>
      <c r="H340" s="1200">
        <v>7207211</v>
      </c>
      <c r="I340" s="1200">
        <v>203035</v>
      </c>
      <c r="J340" s="1200">
        <v>0</v>
      </c>
      <c r="K340" s="1200">
        <v>0</v>
      </c>
      <c r="L340" s="1200">
        <v>118368</v>
      </c>
      <c r="M340" s="1200">
        <v>4770603</v>
      </c>
      <c r="N340" s="1200">
        <v>0</v>
      </c>
      <c r="O340" s="1200">
        <v>15917</v>
      </c>
      <c r="P340" s="1200">
        <v>6362</v>
      </c>
      <c r="Q340" s="1200">
        <v>0</v>
      </c>
      <c r="R340" s="1200">
        <v>2813</v>
      </c>
      <c r="S340" s="1200">
        <v>898656</v>
      </c>
      <c r="T340" s="1200">
        <v>1578318</v>
      </c>
      <c r="U340" s="1200">
        <v>0</v>
      </c>
      <c r="V340" s="1200">
        <v>2834523</v>
      </c>
      <c r="W340" s="1200">
        <v>0</v>
      </c>
      <c r="X340" s="1200">
        <v>0</v>
      </c>
      <c r="Y340" s="1200">
        <v>149579</v>
      </c>
      <c r="Z340" s="1200">
        <v>344770</v>
      </c>
      <c r="AA340" s="1200">
        <v>25731</v>
      </c>
      <c r="AB340" s="1200">
        <v>128972</v>
      </c>
      <c r="AC340" s="1200">
        <v>0</v>
      </c>
      <c r="AD340" s="1200">
        <v>10387</v>
      </c>
      <c r="AE340" s="1200">
        <v>108514</v>
      </c>
      <c r="AF340" s="1200">
        <v>305182</v>
      </c>
      <c r="AG340" s="1200">
        <v>0</v>
      </c>
      <c r="AH340" s="1200">
        <v>0</v>
      </c>
      <c r="AI340" s="1200">
        <v>0</v>
      </c>
      <c r="AJ340" s="1200">
        <v>0</v>
      </c>
      <c r="AK340" s="1200">
        <v>987269</v>
      </c>
      <c r="AL340" s="1200">
        <v>0</v>
      </c>
      <c r="AM340" s="1200">
        <v>0</v>
      </c>
      <c r="AN340" s="1200">
        <v>1652455</v>
      </c>
      <c r="AO340" s="1200">
        <v>1769112</v>
      </c>
      <c r="AP340" s="1200">
        <v>16526</v>
      </c>
      <c r="AQ340" s="1200">
        <v>0</v>
      </c>
      <c r="AR340" s="1200">
        <v>58690</v>
      </c>
      <c r="AS340" s="1200">
        <v>6064</v>
      </c>
      <c r="AT340" s="1200">
        <v>10765</v>
      </c>
      <c r="AU340" s="1200">
        <v>0</v>
      </c>
      <c r="AV340" s="1200">
        <v>2819930</v>
      </c>
      <c r="AW340" s="1200">
        <v>21596</v>
      </c>
      <c r="AX340" s="1200">
        <v>35109</v>
      </c>
      <c r="AY340" s="1200">
        <v>700567</v>
      </c>
      <c r="AZ340" s="1200">
        <v>43989</v>
      </c>
      <c r="BA340" s="1200">
        <v>266595</v>
      </c>
      <c r="BB340" s="1200">
        <v>0</v>
      </c>
      <c r="BC340" s="1200">
        <v>73301</v>
      </c>
      <c r="BD340" s="1200">
        <v>0</v>
      </c>
      <c r="BE340" s="1200">
        <v>0</v>
      </c>
      <c r="BF340" s="1200">
        <v>732939</v>
      </c>
      <c r="BG340" s="1200">
        <v>0</v>
      </c>
      <c r="BH340" s="1200">
        <v>0</v>
      </c>
      <c r="BI340" s="1200">
        <v>317512</v>
      </c>
      <c r="BJ340" s="1200">
        <v>193760</v>
      </c>
      <c r="BK340" s="1200">
        <v>1653</v>
      </c>
      <c r="BL340" s="1200">
        <v>79013</v>
      </c>
      <c r="BM340" s="1200">
        <v>44138</v>
      </c>
      <c r="BN340" s="1200">
        <v>0</v>
      </c>
      <c r="BO340" s="1200">
        <v>299338</v>
      </c>
      <c r="BP340" s="1200">
        <v>112358</v>
      </c>
      <c r="BQ340" s="1200">
        <v>36207</v>
      </c>
      <c r="BR340" s="1200">
        <v>97188</v>
      </c>
      <c r="BS340" s="1200">
        <v>0</v>
      </c>
      <c r="BT340" s="1200">
        <v>0</v>
      </c>
      <c r="BU340" s="1200">
        <v>41531</v>
      </c>
      <c r="BV340" s="1200">
        <v>368887</v>
      </c>
      <c r="BW340" s="1200">
        <v>12132</v>
      </c>
      <c r="BX340" s="1200">
        <v>0</v>
      </c>
      <c r="BY340" s="1200">
        <v>0</v>
      </c>
      <c r="BZ340" s="1200">
        <v>0</v>
      </c>
      <c r="CA340" s="1200">
        <v>851748</v>
      </c>
      <c r="CB340" s="1200">
        <v>0</v>
      </c>
    </row>
    <row r="341" spans="1:80" s="1156" customFormat="1" x14ac:dyDescent="0.3">
      <c r="A341" s="1212" t="s">
        <v>934</v>
      </c>
      <c r="B341" s="1212"/>
      <c r="C341" s="1212" t="s">
        <v>798</v>
      </c>
      <c r="D341" s="1154"/>
      <c r="E341" s="1200"/>
      <c r="F341" s="1200"/>
      <c r="G341" s="1200"/>
      <c r="H341" s="1200"/>
      <c r="I341" s="1200"/>
      <c r="J341" s="1200"/>
      <c r="K341" s="1200"/>
      <c r="L341" s="1200"/>
      <c r="M341" s="1200"/>
      <c r="N341" s="1200"/>
      <c r="O341" s="1200"/>
      <c r="P341" s="1200"/>
      <c r="Q341" s="1200"/>
      <c r="R341" s="1200"/>
      <c r="S341" s="1200"/>
      <c r="T341" s="1200"/>
      <c r="U341" s="1200"/>
      <c r="V341" s="1200"/>
      <c r="W341" s="1200"/>
      <c r="X341" s="1200"/>
      <c r="Y341" s="1200"/>
      <c r="Z341" s="1200"/>
      <c r="AA341" s="1200"/>
      <c r="AB341" s="1200"/>
      <c r="AC341" s="1200"/>
      <c r="AD341" s="1200"/>
      <c r="AE341" s="1200"/>
      <c r="AF341" s="1200"/>
      <c r="AG341" s="1200"/>
      <c r="AH341" s="1200"/>
      <c r="AI341" s="1200"/>
      <c r="AJ341" s="1200"/>
      <c r="AK341" s="1200"/>
      <c r="AL341" s="1200"/>
      <c r="AM341" s="1200"/>
      <c r="AN341" s="1200"/>
      <c r="AO341" s="1200"/>
      <c r="AP341" s="1200"/>
      <c r="AQ341" s="1200"/>
      <c r="AR341" s="1200"/>
      <c r="AS341" s="1200"/>
      <c r="AT341" s="1200"/>
      <c r="AU341" s="1200"/>
      <c r="AV341" s="1200"/>
      <c r="AW341" s="1200"/>
      <c r="AX341" s="1200"/>
      <c r="AY341" s="1200"/>
      <c r="AZ341" s="1200"/>
      <c r="BA341" s="1200"/>
      <c r="BB341" s="1200"/>
      <c r="BC341" s="1200"/>
      <c r="BD341" s="1200"/>
      <c r="BE341" s="1200"/>
      <c r="BF341" s="1200"/>
      <c r="BG341" s="1200"/>
      <c r="BH341" s="1200"/>
      <c r="BI341" s="1200"/>
      <c r="BJ341" s="1200"/>
      <c r="BK341" s="1200"/>
      <c r="BL341" s="1200"/>
      <c r="BM341" s="1200"/>
      <c r="BN341" s="1200"/>
      <c r="BO341" s="1200"/>
      <c r="BP341" s="1200"/>
      <c r="BQ341" s="1200"/>
      <c r="BR341" s="1200"/>
      <c r="BS341" s="1200"/>
      <c r="BT341" s="1200"/>
      <c r="BU341" s="1200"/>
      <c r="BV341" s="1200"/>
      <c r="BW341" s="1200"/>
      <c r="BX341" s="1200"/>
      <c r="BY341" s="1200"/>
      <c r="BZ341" s="1200"/>
      <c r="CA341" s="1200"/>
      <c r="CB341" s="1200"/>
    </row>
    <row r="342" spans="1:80" s="1156" customFormat="1" x14ac:dyDescent="0.3">
      <c r="A342" s="1212" t="s">
        <v>800</v>
      </c>
      <c r="B342" s="1154"/>
      <c r="C342" s="1212" t="s">
        <v>799</v>
      </c>
      <c r="D342" s="1154"/>
      <c r="E342" s="1200"/>
      <c r="F342" s="1200"/>
      <c r="G342" s="1200"/>
      <c r="H342" s="1200"/>
      <c r="I342" s="1200"/>
      <c r="J342" s="1200"/>
      <c r="K342" s="1200"/>
      <c r="L342" s="1200"/>
      <c r="M342" s="1200"/>
      <c r="N342" s="1200"/>
      <c r="O342" s="1200"/>
      <c r="P342" s="1200"/>
      <c r="Q342" s="1200"/>
      <c r="R342" s="1200"/>
      <c r="S342" s="1200"/>
      <c r="T342" s="1200"/>
      <c r="U342" s="1200"/>
      <c r="V342" s="1200"/>
      <c r="W342" s="1200"/>
      <c r="X342" s="1200"/>
      <c r="Y342" s="1200"/>
      <c r="Z342" s="1200"/>
      <c r="AA342" s="1200"/>
      <c r="AB342" s="1200"/>
      <c r="AC342" s="1200"/>
      <c r="AD342" s="1200"/>
      <c r="AE342" s="1200"/>
      <c r="AF342" s="1200"/>
      <c r="AG342" s="1200"/>
      <c r="AH342" s="1200"/>
      <c r="AI342" s="1200"/>
      <c r="AJ342" s="1200"/>
      <c r="AK342" s="1200"/>
      <c r="AL342" s="1200"/>
      <c r="AM342" s="1200"/>
      <c r="AN342" s="1200"/>
      <c r="AO342" s="1200"/>
      <c r="AP342" s="1200"/>
      <c r="AQ342" s="1200"/>
      <c r="AR342" s="1200"/>
      <c r="AS342" s="1200"/>
      <c r="AT342" s="1200"/>
      <c r="AU342" s="1200"/>
      <c r="AV342" s="1200"/>
      <c r="AW342" s="1200"/>
      <c r="AX342" s="1200"/>
      <c r="AY342" s="1200"/>
      <c r="AZ342" s="1200"/>
      <c r="BA342" s="1200"/>
      <c r="BB342" s="1200"/>
      <c r="BC342" s="1200"/>
      <c r="BD342" s="1200"/>
      <c r="BE342" s="1200"/>
      <c r="BF342" s="1200"/>
      <c r="BG342" s="1200"/>
      <c r="BH342" s="1200"/>
      <c r="BI342" s="1200"/>
      <c r="BJ342" s="1200"/>
      <c r="BK342" s="1200"/>
      <c r="BL342" s="1200"/>
      <c r="BM342" s="1200"/>
      <c r="BN342" s="1200"/>
      <c r="BO342" s="1200"/>
      <c r="BP342" s="1200"/>
      <c r="BQ342" s="1200"/>
      <c r="BR342" s="1200"/>
      <c r="BS342" s="1200"/>
      <c r="BT342" s="1200"/>
      <c r="BU342" s="1200"/>
      <c r="BV342" s="1200"/>
      <c r="BW342" s="1200"/>
      <c r="BX342" s="1200"/>
      <c r="BY342" s="1200"/>
      <c r="BZ342" s="1200"/>
      <c r="CA342" s="1200"/>
      <c r="CB342" s="1200"/>
    </row>
    <row r="343" spans="1:80" s="1156" customFormat="1" x14ac:dyDescent="0.3">
      <c r="A343" s="1212" t="s">
        <v>804</v>
      </c>
      <c r="B343" s="1154"/>
      <c r="C343" s="1212" t="s">
        <v>806</v>
      </c>
      <c r="D343" s="1154"/>
      <c r="E343" s="1200"/>
      <c r="F343" s="1200"/>
      <c r="G343" s="1200"/>
      <c r="H343" s="1200"/>
      <c r="I343" s="1200"/>
      <c r="J343" s="1200"/>
      <c r="K343" s="1200"/>
      <c r="L343" s="1200"/>
      <c r="M343" s="1200"/>
      <c r="N343" s="1200"/>
      <c r="O343" s="1200"/>
      <c r="P343" s="1200"/>
      <c r="Q343" s="1200"/>
      <c r="R343" s="1200"/>
      <c r="S343" s="1200"/>
      <c r="T343" s="1200"/>
      <c r="U343" s="1200"/>
      <c r="V343" s="1200"/>
      <c r="W343" s="1200"/>
      <c r="X343" s="1200"/>
      <c r="Y343" s="1200"/>
      <c r="Z343" s="1200"/>
      <c r="AA343" s="1200"/>
      <c r="AB343" s="1200"/>
      <c r="AC343" s="1200"/>
      <c r="AD343" s="1200"/>
      <c r="AE343" s="1200"/>
      <c r="AF343" s="1200"/>
      <c r="AG343" s="1200"/>
      <c r="AH343" s="1200"/>
      <c r="AI343" s="1200"/>
      <c r="AJ343" s="1200"/>
      <c r="AK343" s="1200"/>
      <c r="AL343" s="1200"/>
      <c r="AM343" s="1200"/>
      <c r="AN343" s="1200"/>
      <c r="AO343" s="1200"/>
      <c r="AP343" s="1200"/>
      <c r="AQ343" s="1200"/>
      <c r="AR343" s="1200"/>
      <c r="AS343" s="1200"/>
      <c r="AT343" s="1200"/>
      <c r="AU343" s="1200"/>
      <c r="AV343" s="1200"/>
      <c r="AW343" s="1200"/>
      <c r="AX343" s="1200"/>
      <c r="AY343" s="1200"/>
      <c r="AZ343" s="1200"/>
      <c r="BA343" s="1200"/>
      <c r="BB343" s="1200"/>
      <c r="BC343" s="1200"/>
      <c r="BD343" s="1200"/>
      <c r="BE343" s="1200"/>
      <c r="BF343" s="1200"/>
      <c r="BG343" s="1200"/>
      <c r="BH343" s="1200"/>
      <c r="BI343" s="1200"/>
      <c r="BJ343" s="1200"/>
      <c r="BK343" s="1200"/>
      <c r="BL343" s="1200"/>
      <c r="BM343" s="1200"/>
      <c r="BN343" s="1200"/>
      <c r="BO343" s="1200"/>
      <c r="BP343" s="1200"/>
      <c r="BQ343" s="1200"/>
      <c r="BR343" s="1200"/>
      <c r="BS343" s="1200"/>
      <c r="BT343" s="1200"/>
      <c r="BU343" s="1200"/>
      <c r="BV343" s="1200"/>
      <c r="BW343" s="1200"/>
      <c r="BX343" s="1200"/>
      <c r="BY343" s="1200"/>
      <c r="BZ343" s="1200"/>
      <c r="CA343" s="1200"/>
      <c r="CB343" s="1200"/>
    </row>
    <row r="344" spans="1:80" s="1156" customFormat="1" x14ac:dyDescent="0.3">
      <c r="A344" s="1212" t="s">
        <v>805</v>
      </c>
      <c r="B344" s="1154"/>
      <c r="C344" s="1212" t="s">
        <v>807</v>
      </c>
      <c r="D344" s="1154"/>
      <c r="E344" s="1200"/>
      <c r="F344" s="1200"/>
      <c r="G344" s="1200"/>
      <c r="H344" s="1200"/>
      <c r="I344" s="1200"/>
      <c r="J344" s="1200"/>
      <c r="K344" s="1200"/>
      <c r="L344" s="1200"/>
      <c r="M344" s="1200"/>
      <c r="N344" s="1200"/>
      <c r="O344" s="1200"/>
      <c r="P344" s="1200"/>
      <c r="Q344" s="1200"/>
      <c r="R344" s="1200"/>
      <c r="S344" s="1200"/>
      <c r="T344" s="1200"/>
      <c r="U344" s="1200"/>
      <c r="V344" s="1200"/>
      <c r="W344" s="1200"/>
      <c r="X344" s="1200"/>
      <c r="Y344" s="1200"/>
      <c r="Z344" s="1200"/>
      <c r="AA344" s="1200"/>
      <c r="AB344" s="1200"/>
      <c r="AC344" s="1200"/>
      <c r="AD344" s="1200"/>
      <c r="AE344" s="1200"/>
      <c r="AF344" s="1200"/>
      <c r="AG344" s="1200"/>
      <c r="AH344" s="1200"/>
      <c r="AI344" s="1200"/>
      <c r="AJ344" s="1200"/>
      <c r="AK344" s="1200"/>
      <c r="AL344" s="1200"/>
      <c r="AM344" s="1200"/>
      <c r="AN344" s="1200"/>
      <c r="AO344" s="1200"/>
      <c r="AP344" s="1200"/>
      <c r="AQ344" s="1200"/>
      <c r="AR344" s="1200"/>
      <c r="AS344" s="1200"/>
      <c r="AT344" s="1200"/>
      <c r="AU344" s="1200"/>
      <c r="AV344" s="1200"/>
      <c r="AW344" s="1200"/>
      <c r="AX344" s="1200"/>
      <c r="AY344" s="1200"/>
      <c r="AZ344" s="1200"/>
      <c r="BA344" s="1200"/>
      <c r="BB344" s="1200"/>
      <c r="BC344" s="1200"/>
      <c r="BD344" s="1200"/>
      <c r="BE344" s="1200"/>
      <c r="BF344" s="1200"/>
      <c r="BG344" s="1200"/>
      <c r="BH344" s="1200"/>
      <c r="BI344" s="1200"/>
      <c r="BJ344" s="1200"/>
      <c r="BK344" s="1200"/>
      <c r="BL344" s="1200"/>
      <c r="BM344" s="1200"/>
      <c r="BN344" s="1200"/>
      <c r="BO344" s="1200"/>
      <c r="BP344" s="1200"/>
      <c r="BQ344" s="1200"/>
      <c r="BR344" s="1200"/>
      <c r="BS344" s="1200"/>
      <c r="BT344" s="1200"/>
      <c r="BU344" s="1200"/>
      <c r="BV344" s="1200"/>
      <c r="BW344" s="1200"/>
      <c r="BX344" s="1200"/>
      <c r="BY344" s="1200"/>
      <c r="BZ344" s="1200"/>
      <c r="CA344" s="1200"/>
      <c r="CB344" s="1200"/>
    </row>
    <row r="345" spans="1:80" s="1156" customFormat="1" x14ac:dyDescent="0.3">
      <c r="A345" s="1212" t="s">
        <v>956</v>
      </c>
      <c r="B345" s="1154"/>
      <c r="C345" s="1212" t="s">
        <v>959</v>
      </c>
      <c r="D345" s="1154"/>
      <c r="E345" s="1200"/>
      <c r="F345" s="1200"/>
      <c r="G345" s="1200"/>
      <c r="H345" s="1200"/>
      <c r="I345" s="1200"/>
      <c r="J345" s="1200"/>
      <c r="K345" s="1200"/>
      <c r="L345" s="1200"/>
      <c r="M345" s="1200"/>
      <c r="N345" s="1200"/>
      <c r="O345" s="1200"/>
      <c r="P345" s="1200"/>
      <c r="Q345" s="1200"/>
      <c r="R345" s="1200"/>
      <c r="S345" s="1200"/>
      <c r="T345" s="1200"/>
      <c r="U345" s="1200"/>
      <c r="V345" s="1200"/>
      <c r="W345" s="1200"/>
      <c r="X345" s="1200"/>
      <c r="Y345" s="1200"/>
      <c r="Z345" s="1200"/>
      <c r="AA345" s="1200"/>
      <c r="AB345" s="1200"/>
      <c r="AC345" s="1200"/>
      <c r="AD345" s="1200"/>
      <c r="AE345" s="1200"/>
      <c r="AF345" s="1200"/>
      <c r="AG345" s="1200"/>
      <c r="AH345" s="1200"/>
      <c r="AI345" s="1200"/>
      <c r="AJ345" s="1200"/>
      <c r="AK345" s="1200"/>
      <c r="AL345" s="1200"/>
      <c r="AM345" s="1200"/>
      <c r="AN345" s="1200"/>
      <c r="AO345" s="1200"/>
      <c r="AP345" s="1200"/>
      <c r="AQ345" s="1200"/>
      <c r="AR345" s="1200"/>
      <c r="AS345" s="1200"/>
      <c r="AT345" s="1200"/>
      <c r="AU345" s="1200"/>
      <c r="AV345" s="1200"/>
      <c r="AW345" s="1200"/>
      <c r="AX345" s="1200"/>
      <c r="AY345" s="1200"/>
      <c r="AZ345" s="1200"/>
      <c r="BA345" s="1200"/>
      <c r="BB345" s="1200"/>
      <c r="BC345" s="1200"/>
      <c r="BD345" s="1200"/>
      <c r="BE345" s="1200"/>
      <c r="BF345" s="1200"/>
      <c r="BG345" s="1200"/>
      <c r="BH345" s="1200"/>
      <c r="BI345" s="1200"/>
      <c r="BJ345" s="1200"/>
      <c r="BK345" s="1200"/>
      <c r="BL345" s="1200"/>
      <c r="BM345" s="1200"/>
      <c r="BN345" s="1200"/>
      <c r="BO345" s="1200"/>
      <c r="BP345" s="1200"/>
      <c r="BQ345" s="1200"/>
      <c r="BR345" s="1200"/>
      <c r="BS345" s="1200"/>
      <c r="BT345" s="1200"/>
      <c r="BU345" s="1200"/>
      <c r="BV345" s="1200"/>
      <c r="BW345" s="1200"/>
      <c r="BX345" s="1200"/>
      <c r="BY345" s="1200"/>
      <c r="BZ345" s="1200"/>
      <c r="CA345" s="1200"/>
      <c r="CB345" s="1200"/>
    </row>
    <row r="346" spans="1:80" s="1156" customFormat="1" x14ac:dyDescent="0.3">
      <c r="A346" s="1212" t="s">
        <v>957</v>
      </c>
      <c r="B346" s="1154"/>
      <c r="C346" s="1154" t="s">
        <v>958</v>
      </c>
      <c r="D346" s="1154"/>
      <c r="E346" s="1200"/>
      <c r="F346" s="1200"/>
      <c r="G346" s="1200"/>
      <c r="H346" s="1200"/>
      <c r="I346" s="1200"/>
      <c r="J346" s="1200"/>
      <c r="K346" s="1200"/>
      <c r="L346" s="1200"/>
      <c r="M346" s="1200"/>
      <c r="N346" s="1200"/>
      <c r="O346" s="1200"/>
      <c r="P346" s="1200"/>
      <c r="Q346" s="1200"/>
      <c r="R346" s="1200"/>
      <c r="S346" s="1200"/>
      <c r="T346" s="1200"/>
      <c r="U346" s="1200"/>
      <c r="V346" s="1200"/>
      <c r="W346" s="1200"/>
      <c r="X346" s="1200"/>
      <c r="Y346" s="1200"/>
      <c r="Z346" s="1200"/>
      <c r="AA346" s="1200"/>
      <c r="AB346" s="1200"/>
      <c r="AC346" s="1200"/>
      <c r="AD346" s="1200"/>
      <c r="AE346" s="1200"/>
      <c r="AF346" s="1200"/>
      <c r="AG346" s="1200"/>
      <c r="AH346" s="1200"/>
      <c r="AI346" s="1200"/>
      <c r="AJ346" s="1200"/>
      <c r="AK346" s="1200"/>
      <c r="AL346" s="1200"/>
      <c r="AM346" s="1200"/>
      <c r="AN346" s="1200"/>
      <c r="AO346" s="1200"/>
      <c r="AP346" s="1200"/>
      <c r="AQ346" s="1200"/>
      <c r="AR346" s="1200"/>
      <c r="AS346" s="1200"/>
      <c r="AT346" s="1200"/>
      <c r="AU346" s="1200"/>
      <c r="AV346" s="1200"/>
      <c r="AW346" s="1200"/>
      <c r="AX346" s="1200"/>
      <c r="AY346" s="1200"/>
      <c r="AZ346" s="1200"/>
      <c r="BA346" s="1200"/>
      <c r="BB346" s="1200"/>
      <c r="BC346" s="1200"/>
      <c r="BD346" s="1200"/>
      <c r="BE346" s="1200"/>
      <c r="BF346" s="1200"/>
      <c r="BG346" s="1200"/>
      <c r="BH346" s="1200"/>
      <c r="BI346" s="1200"/>
      <c r="BJ346" s="1200"/>
      <c r="BK346" s="1200"/>
      <c r="BL346" s="1200"/>
      <c r="BM346" s="1200"/>
      <c r="BN346" s="1200"/>
      <c r="BO346" s="1200"/>
      <c r="BP346" s="1200"/>
      <c r="BQ346" s="1200"/>
      <c r="BR346" s="1200"/>
      <c r="BS346" s="1200"/>
      <c r="BT346" s="1200"/>
      <c r="BU346" s="1200"/>
      <c r="BV346" s="1200"/>
      <c r="BW346" s="1200"/>
      <c r="BX346" s="1200"/>
      <c r="BY346" s="1200"/>
      <c r="BZ346" s="1200"/>
      <c r="CA346" s="1200"/>
      <c r="CB346" s="1200"/>
    </row>
    <row r="347" spans="1:80" s="1156" customFormat="1" x14ac:dyDescent="0.3">
      <c r="A347" s="1216" t="s">
        <v>1189</v>
      </c>
      <c r="B347" s="1207"/>
      <c r="C347" s="1217" t="s">
        <v>825</v>
      </c>
      <c r="D347" s="1154"/>
      <c r="E347" s="1200" t="e">
        <v>#DIV/0!</v>
      </c>
      <c r="F347" s="1200" t="e">
        <v>#DIV/0!</v>
      </c>
      <c r="G347" s="1200" t="e">
        <v>#DIV/0!</v>
      </c>
      <c r="H347" s="1200">
        <v>6.2906018472686043</v>
      </c>
      <c r="I347" s="1200">
        <v>29.426733309440092</v>
      </c>
      <c r="J347" s="1200">
        <v>8.4872514023457413</v>
      </c>
      <c r="K347" s="1200">
        <v>646.60467836257305</v>
      </c>
      <c r="L347" s="1200">
        <v>11.980629017097273</v>
      </c>
      <c r="M347" s="1200">
        <v>1.3586616383309666</v>
      </c>
      <c r="N347" s="1200" t="e">
        <v>#DIV/0!</v>
      </c>
      <c r="O347" s="1200">
        <v>52.836598263877342</v>
      </c>
      <c r="P347" s="1200">
        <v>28.213625145770617</v>
      </c>
      <c r="Q347" s="1200" t="e">
        <v>#DIV/0!</v>
      </c>
      <c r="R347" s="1200">
        <v>8.9591091749299938</v>
      </c>
      <c r="S347" s="1200">
        <v>5.6696864440162109</v>
      </c>
      <c r="T347" s="1200">
        <v>4.3207497015783192</v>
      </c>
      <c r="U347" s="1200" t="e">
        <v>#DIV/0!</v>
      </c>
      <c r="V347" s="1200">
        <v>2.7112866255969257</v>
      </c>
      <c r="W347" s="1200" t="e">
        <v>#DIV/0!</v>
      </c>
      <c r="X347" s="1200" t="e">
        <v>#DIV/0!</v>
      </c>
      <c r="Y347" s="1200">
        <v>80.788179465056089</v>
      </c>
      <c r="Z347" s="1200">
        <v>6.124202122612167</v>
      </c>
      <c r="AA347" s="1200">
        <v>37.108873373910967</v>
      </c>
      <c r="AB347" s="1200">
        <v>1.7274977497749775</v>
      </c>
      <c r="AC347" s="1200" t="e">
        <v>#DIV/0!</v>
      </c>
      <c r="AD347" s="1200">
        <v>3.5870820749218462</v>
      </c>
      <c r="AE347" s="1200">
        <v>14.558851018755062</v>
      </c>
      <c r="AF347" s="1200">
        <v>1.9247394598146741</v>
      </c>
      <c r="AG347" s="1200">
        <v>9.1178686009206302</v>
      </c>
      <c r="AH347" s="1200" t="e">
        <v>#DIV/0!</v>
      </c>
      <c r="AI347" s="1200" t="e">
        <v>#DIV/0!</v>
      </c>
      <c r="AJ347" s="1200">
        <v>27.340724780800191</v>
      </c>
      <c r="AK347" s="1200">
        <v>6.9536613606644799</v>
      </c>
      <c r="AL347" s="1200">
        <v>16.594784633294527</v>
      </c>
      <c r="AM347" s="1200" t="e">
        <v>#DIV/0!</v>
      </c>
      <c r="AN347" s="1200">
        <v>7.843929652223653</v>
      </c>
      <c r="AO347" s="1200">
        <v>6.1262937987861008</v>
      </c>
      <c r="AP347" s="1200">
        <v>3.5795759276582477</v>
      </c>
      <c r="AQ347" s="1200" t="e">
        <v>#DIV/0!</v>
      </c>
      <c r="AR347" s="1200">
        <v>5.3431325709336868</v>
      </c>
      <c r="AS347" s="1200">
        <v>18.66543440526825</v>
      </c>
      <c r="AT347" s="1200">
        <v>18.393759873617693</v>
      </c>
      <c r="AU347" s="1200">
        <v>6.8364827079948203</v>
      </c>
      <c r="AV347" s="1200">
        <v>3.0752497582408154</v>
      </c>
      <c r="AW347" s="1200">
        <v>35.187798329355608</v>
      </c>
      <c r="AX347" s="1200">
        <v>13.279755464185241</v>
      </c>
      <c r="AY347" s="1200">
        <v>20.715972894482093</v>
      </c>
      <c r="AZ347" s="1200">
        <v>14.909681437978287</v>
      </c>
      <c r="BA347" s="1200">
        <v>6.2114521607225637</v>
      </c>
      <c r="BB347" s="1200">
        <v>9.843081312410841E-2</v>
      </c>
      <c r="BC347" s="1200">
        <v>3.8671597584722881</v>
      </c>
      <c r="BD347" s="1200" t="e">
        <v>#DIV/0!</v>
      </c>
      <c r="BE347" s="1200" t="e">
        <v>#DIV/0!</v>
      </c>
      <c r="BF347" s="1200">
        <v>5.4242074759058649</v>
      </c>
      <c r="BG347" s="1200" t="e">
        <v>#DIV/0!</v>
      </c>
      <c r="BH347" s="1200" t="e">
        <v>#DIV/0!</v>
      </c>
      <c r="BI347" s="1200">
        <v>2.140739113875135</v>
      </c>
      <c r="BJ347" s="1200">
        <v>10.064026612977207</v>
      </c>
      <c r="BK347" s="1200">
        <v>0.83310692800310504</v>
      </c>
      <c r="BL347" s="1200">
        <v>29.15234895685688</v>
      </c>
      <c r="BM347" s="1200">
        <v>16.589920948616601</v>
      </c>
      <c r="BN347" s="1200" t="e">
        <v>#DIV/0!</v>
      </c>
      <c r="BO347" s="1200">
        <v>6.3453389056426657</v>
      </c>
      <c r="BP347" s="1200">
        <v>17.210449873380011</v>
      </c>
      <c r="BQ347" s="1200">
        <v>51.483160063239595</v>
      </c>
      <c r="BR347" s="1200">
        <v>2.4723680236402372</v>
      </c>
      <c r="BS347" s="1200" t="e">
        <v>#DIV/0!</v>
      </c>
      <c r="BT347" s="1200" t="e">
        <v>#DIV/0!</v>
      </c>
      <c r="BU347" s="1200">
        <v>10.14565902155724</v>
      </c>
      <c r="BV347" s="1200">
        <v>7.2586452062864382</v>
      </c>
      <c r="BW347" s="1200">
        <v>3.7882354532786775</v>
      </c>
      <c r="BX347" s="1200">
        <v>2.6027955920795067</v>
      </c>
      <c r="BY347" s="1200" t="e">
        <v>#DIV/0!</v>
      </c>
      <c r="BZ347" s="1200" t="e">
        <v>#DIV/0!</v>
      </c>
      <c r="CA347" s="1200">
        <v>6.0953589166680535</v>
      </c>
      <c r="CB347" s="1200" t="e">
        <v>#DIV/0!</v>
      </c>
    </row>
    <row r="348" spans="1:80" s="1156" customFormat="1" x14ac:dyDescent="0.3">
      <c r="A348" s="1430" t="s">
        <v>1196</v>
      </c>
      <c r="B348" s="1431"/>
      <c r="C348" s="1218" t="s">
        <v>1365</v>
      </c>
      <c r="D348" s="1154"/>
      <c r="E348" s="1219">
        <v>0</v>
      </c>
      <c r="F348" s="1219">
        <v>0</v>
      </c>
      <c r="G348" s="1219">
        <v>0</v>
      </c>
      <c r="H348" s="1219">
        <v>6083345</v>
      </c>
      <c r="I348" s="1219">
        <v>1700739</v>
      </c>
      <c r="J348" s="1219">
        <v>-8962</v>
      </c>
      <c r="K348" s="1219">
        <v>224374</v>
      </c>
      <c r="L348" s="1219">
        <v>197169</v>
      </c>
      <c r="M348" s="1219">
        <v>2855199</v>
      </c>
      <c r="N348" s="1219">
        <v>0</v>
      </c>
      <c r="O348" s="1219">
        <v>142230</v>
      </c>
      <c r="P348" s="1219">
        <v>77244</v>
      </c>
      <c r="Q348" s="1219">
        <v>0</v>
      </c>
      <c r="R348" s="1219">
        <v>1726503</v>
      </c>
      <c r="S348" s="1219">
        <v>460985</v>
      </c>
      <c r="T348" s="1219">
        <v>1010119</v>
      </c>
      <c r="U348" s="1219">
        <v>0</v>
      </c>
      <c r="V348" s="1219">
        <v>1718772</v>
      </c>
      <c r="W348" s="1219">
        <v>0</v>
      </c>
      <c r="X348" s="1219">
        <v>0</v>
      </c>
      <c r="Y348" s="1219">
        <v>-149579</v>
      </c>
      <c r="Z348" s="1219">
        <v>285390</v>
      </c>
      <c r="AA348" s="1219">
        <v>443833</v>
      </c>
      <c r="AB348" s="1219">
        <v>266283</v>
      </c>
      <c r="AC348" s="1219">
        <v>0</v>
      </c>
      <c r="AD348" s="1219">
        <v>-1780</v>
      </c>
      <c r="AE348" s="1219">
        <v>103756</v>
      </c>
      <c r="AF348" s="1219">
        <v>729133</v>
      </c>
      <c r="AG348" s="1219">
        <v>-2486</v>
      </c>
      <c r="AH348" s="1219">
        <v>0</v>
      </c>
      <c r="AI348" s="1219">
        <v>0</v>
      </c>
      <c r="AJ348" s="1219">
        <v>35470</v>
      </c>
      <c r="AK348" s="1219">
        <v>1926800</v>
      </c>
      <c r="AL348" s="1219">
        <v>-32330</v>
      </c>
      <c r="AM348" s="1219">
        <v>0</v>
      </c>
      <c r="AN348" s="1219">
        <v>3781111</v>
      </c>
      <c r="AO348" s="1219">
        <v>1462709</v>
      </c>
      <c r="AP348" s="1219">
        <v>45905</v>
      </c>
      <c r="AQ348" s="1219">
        <v>0</v>
      </c>
      <c r="AR348" s="1219">
        <v>885725</v>
      </c>
      <c r="AS348" s="1219">
        <v>-42448</v>
      </c>
      <c r="AT348" s="1219">
        <v>29138</v>
      </c>
      <c r="AU348" s="1219">
        <v>297557</v>
      </c>
      <c r="AV348" s="1219">
        <v>98567</v>
      </c>
      <c r="AW348" s="1219">
        <v>112626</v>
      </c>
      <c r="AX348" s="1219">
        <v>-89263</v>
      </c>
      <c r="AY348" s="1219">
        <v>212362</v>
      </c>
      <c r="AZ348" s="1219">
        <v>307368</v>
      </c>
      <c r="BA348" s="1219">
        <v>229614</v>
      </c>
      <c r="BB348" s="1219">
        <v>-89650</v>
      </c>
      <c r="BC348" s="1219">
        <v>27445</v>
      </c>
      <c r="BD348" s="1219">
        <v>0</v>
      </c>
      <c r="BE348" s="1219">
        <v>0</v>
      </c>
      <c r="BF348" s="1219">
        <v>1182128</v>
      </c>
      <c r="BG348" s="1219">
        <v>0</v>
      </c>
      <c r="BH348" s="1219">
        <v>0</v>
      </c>
      <c r="BI348" s="1219">
        <v>81423</v>
      </c>
      <c r="BJ348" s="1219">
        <v>143130</v>
      </c>
      <c r="BK348" s="1219">
        <v>-29239</v>
      </c>
      <c r="BL348" s="1219">
        <v>197067</v>
      </c>
      <c r="BM348" s="1219">
        <v>479062</v>
      </c>
      <c r="BN348" s="1219">
        <v>0</v>
      </c>
      <c r="BO348" s="1219">
        <v>352606</v>
      </c>
      <c r="BP348" s="1219">
        <v>256413</v>
      </c>
      <c r="BQ348" s="1219">
        <v>205522</v>
      </c>
      <c r="BR348" s="1219">
        <v>93957</v>
      </c>
      <c r="BS348" s="1219">
        <v>0</v>
      </c>
      <c r="BT348" s="1219">
        <v>0</v>
      </c>
      <c r="BU348" s="1219">
        <v>-45214</v>
      </c>
      <c r="BV348" s="1219">
        <v>184535</v>
      </c>
      <c r="BW348" s="1219">
        <v>57367</v>
      </c>
      <c r="BX348" s="1219">
        <v>661423</v>
      </c>
      <c r="BY348" s="1219">
        <v>0</v>
      </c>
      <c r="BZ348" s="1219">
        <v>0</v>
      </c>
      <c r="CA348" s="1219">
        <v>1246711</v>
      </c>
      <c r="CB348" s="1219">
        <v>0</v>
      </c>
    </row>
    <row r="349" spans="1:80" s="1156" customFormat="1" x14ac:dyDescent="0.3">
      <c r="A349" s="1220" t="s">
        <v>1195</v>
      </c>
      <c r="B349" s="1198"/>
      <c r="C349" s="1221" t="s">
        <v>1197</v>
      </c>
      <c r="D349" s="1154"/>
      <c r="E349" s="1200" t="e">
        <v>#DIV/0!</v>
      </c>
      <c r="F349" s="1200" t="e">
        <v>#DIV/0!</v>
      </c>
      <c r="G349" s="1200" t="e">
        <v>#DIV/0!</v>
      </c>
      <c r="H349" s="1200">
        <v>1.893630577468397</v>
      </c>
      <c r="I349" s="1200">
        <v>3.3993300613705566</v>
      </c>
      <c r="J349" s="1200">
        <v>1.0429155180166969</v>
      </c>
      <c r="K349" s="1200">
        <v>9.1723695302615127</v>
      </c>
      <c r="L349" s="1200">
        <v>0.77074673621340217</v>
      </c>
      <c r="M349" s="1200">
        <v>0.14632723996000957</v>
      </c>
      <c r="N349" s="1200" t="e">
        <v>#DIV/0!</v>
      </c>
      <c r="O349" s="1200">
        <v>2.7982625329606163</v>
      </c>
      <c r="P349" s="1200">
        <v>0.74984045583581171</v>
      </c>
      <c r="Q349" s="1200" t="e">
        <v>#DIV/0!</v>
      </c>
      <c r="R349" s="1200">
        <v>2.2393701734299118</v>
      </c>
      <c r="S349" s="1200">
        <v>1.1786645714580075</v>
      </c>
      <c r="T349" s="1200">
        <v>1.1040033328675409</v>
      </c>
      <c r="U349" s="1200" t="e">
        <v>#DIV/0!</v>
      </c>
      <c r="V349" s="1200">
        <v>0.59763386766577475</v>
      </c>
      <c r="W349" s="1200" t="e">
        <v>#DIV/0!</v>
      </c>
      <c r="X349" s="1200" t="e">
        <v>#DIV/0!</v>
      </c>
      <c r="Y349" s="1200">
        <v>0.25522573675351107</v>
      </c>
      <c r="Z349" s="1200">
        <v>1.2959414648687315</v>
      </c>
      <c r="AA349" s="1200">
        <v>1.403004493579258</v>
      </c>
      <c r="AB349" s="1200">
        <v>0.40750461938922672</v>
      </c>
      <c r="AC349" s="1200" t="e">
        <v>#DIV/0!</v>
      </c>
      <c r="AD349" s="1200">
        <v>0.51509951956074129</v>
      </c>
      <c r="AE349" s="1200">
        <v>2.1328275606470868</v>
      </c>
      <c r="AF349" s="1200">
        <v>0.5924211400608328</v>
      </c>
      <c r="AG349" s="1200">
        <v>1.08521825192272</v>
      </c>
      <c r="AH349" s="1200" t="e">
        <v>#DIV/0!</v>
      </c>
      <c r="AI349" s="1200" t="e">
        <v>#DIV/0!</v>
      </c>
      <c r="AJ349" s="1200">
        <v>1.9425668202548088</v>
      </c>
      <c r="AK349" s="1200">
        <v>0.89382235307558744</v>
      </c>
      <c r="AL349" s="1200">
        <v>2.0139508481367705</v>
      </c>
      <c r="AM349" s="1200" t="e">
        <v>#DIV/0!</v>
      </c>
      <c r="AN349" s="1200">
        <v>4.0857062576493499</v>
      </c>
      <c r="AO349" s="1200">
        <v>1.1154509698011175</v>
      </c>
      <c r="AP349" s="1200">
        <v>9.4010681025731568E-2</v>
      </c>
      <c r="AQ349" s="1200" t="e">
        <v>#DIV/0!</v>
      </c>
      <c r="AR349" s="1200">
        <v>0.48219965702239498</v>
      </c>
      <c r="AS349" s="1200">
        <v>1.2084067227100952</v>
      </c>
      <c r="AT349" s="1200">
        <v>0.7825926258557917</v>
      </c>
      <c r="AU349" s="1200">
        <v>0.65053932640465262</v>
      </c>
      <c r="AV349" s="1200">
        <v>1.0300119588191372</v>
      </c>
      <c r="AW349" s="1200">
        <v>3.5808761447035136</v>
      </c>
      <c r="AX349" s="1200">
        <v>1.5753719812803659</v>
      </c>
      <c r="AY349" s="1200">
        <v>0.60454054860170259</v>
      </c>
      <c r="AZ349" s="1200">
        <v>0.46015112315099793</v>
      </c>
      <c r="BA349" s="1200">
        <v>0.53628937106556196</v>
      </c>
      <c r="BB349" s="1200">
        <v>1.5504557577889152E-2</v>
      </c>
      <c r="BC349" s="1200">
        <v>0.47608897536815109</v>
      </c>
      <c r="BD349" s="1200" t="e">
        <v>#DIV/0!</v>
      </c>
      <c r="BE349" s="1200" t="e">
        <v>#DIV/0!</v>
      </c>
      <c r="BF349" s="1200">
        <v>0.12070370681443221</v>
      </c>
      <c r="BG349" s="1200" t="e">
        <v>#DIV/0!</v>
      </c>
      <c r="BH349" s="1200" t="e">
        <v>#DIV/0!</v>
      </c>
      <c r="BI349" s="1200">
        <v>0.4469558455527341</v>
      </c>
      <c r="BJ349" s="1200">
        <v>2.2517835786090625</v>
      </c>
      <c r="BK349" s="1200">
        <v>0</v>
      </c>
      <c r="BL349" s="1200">
        <v>2.2156268927922471</v>
      </c>
      <c r="BM349" s="1200">
        <v>1.7881104314201071</v>
      </c>
      <c r="BN349" s="1200" t="e">
        <v>#DIV/0!</v>
      </c>
      <c r="BO349" s="1200">
        <v>0.50086017791550719</v>
      </c>
      <c r="BP349" s="1200">
        <v>4.1043090817196504</v>
      </c>
      <c r="BQ349" s="1200">
        <v>1.8411814523494539</v>
      </c>
      <c r="BR349" s="1200">
        <v>1.4020216051734358</v>
      </c>
      <c r="BS349" s="1200" t="e">
        <v>#DIV/0!</v>
      </c>
      <c r="BT349" s="1200" t="e">
        <v>#DIV/0!</v>
      </c>
      <c r="BU349" s="1200">
        <v>1.3777772769395367</v>
      </c>
      <c r="BV349" s="1200">
        <v>0.69278725117427076</v>
      </c>
      <c r="BW349" s="1200">
        <v>0.36200716085624834</v>
      </c>
      <c r="BX349" s="1200">
        <v>1.1283249635358208</v>
      </c>
      <c r="BY349" s="1200" t="e">
        <v>#DIV/0!</v>
      </c>
      <c r="BZ349" s="1200" t="e">
        <v>#DIV/0!</v>
      </c>
      <c r="CA349" s="1200">
        <v>1.167554668186698</v>
      </c>
      <c r="CB349" s="1200" t="e">
        <v>#DIV/0!</v>
      </c>
    </row>
    <row r="350" spans="1:80" s="1156" customFormat="1" x14ac:dyDescent="0.3">
      <c r="A350" s="1216" t="s">
        <v>1194</v>
      </c>
      <c r="B350" s="1207"/>
      <c r="C350" s="1154" t="s">
        <v>1198</v>
      </c>
      <c r="D350" s="1154"/>
      <c r="E350" s="1200" t="e">
        <v>#DIV/0!</v>
      </c>
      <c r="F350" s="1200" t="e">
        <v>#DIV/0!</v>
      </c>
      <c r="G350" s="1200" t="e">
        <v>#DIV/0!</v>
      </c>
      <c r="H350" s="1200" t="e">
        <v>#DIV/0!</v>
      </c>
      <c r="I350" s="1200" t="e">
        <v>#DIV/0!</v>
      </c>
      <c r="J350" s="1200" t="e">
        <v>#DIV/0!</v>
      </c>
      <c r="K350" s="1200" t="e">
        <v>#DIV/0!</v>
      </c>
      <c r="L350" s="1200" t="e">
        <v>#DIV/0!</v>
      </c>
      <c r="M350" s="1200" t="e">
        <v>#DIV/0!</v>
      </c>
      <c r="N350" s="1200" t="e">
        <v>#DIV/0!</v>
      </c>
      <c r="O350" s="1200" t="e">
        <v>#DIV/0!</v>
      </c>
      <c r="P350" s="1200" t="e">
        <v>#DIV/0!</v>
      </c>
      <c r="Q350" s="1200" t="e">
        <v>#DIV/0!</v>
      </c>
      <c r="R350" s="1200" t="e">
        <v>#DIV/0!</v>
      </c>
      <c r="S350" s="1200" t="e">
        <v>#DIV/0!</v>
      </c>
      <c r="T350" s="1200">
        <v>7.9468069612548691</v>
      </c>
      <c r="U350" s="1200" t="e">
        <v>#DIV/0!</v>
      </c>
      <c r="V350" s="1200">
        <v>16.308110486829531</v>
      </c>
      <c r="W350" s="1200" t="e">
        <v>#DIV/0!</v>
      </c>
      <c r="X350" s="1200" t="e">
        <v>#DIV/0!</v>
      </c>
      <c r="Y350" s="1200" t="e">
        <v>#DIV/0!</v>
      </c>
      <c r="Z350" s="1200" t="e">
        <v>#DIV/0!</v>
      </c>
      <c r="AA350" s="1200">
        <v>2.0836628141641316</v>
      </c>
      <c r="AB350" s="1200">
        <v>0</v>
      </c>
      <c r="AC350" s="1200" t="e">
        <v>#DIV/0!</v>
      </c>
      <c r="AD350" s="1200" t="e">
        <v>#DIV/0!</v>
      </c>
      <c r="AE350" s="1200" t="e">
        <v>#DIV/0!</v>
      </c>
      <c r="AF350" s="1200">
        <v>3.5435434257519769</v>
      </c>
      <c r="AG350" s="1200" t="e">
        <v>#DIV/0!</v>
      </c>
      <c r="AH350" s="1200" t="e">
        <v>#DIV/0!</v>
      </c>
      <c r="AI350" s="1200" t="e">
        <v>#DIV/0!</v>
      </c>
      <c r="AJ350" s="1200" t="e">
        <v>#DIV/0!</v>
      </c>
      <c r="AK350" s="1200">
        <v>4.2623036300701163</v>
      </c>
      <c r="AL350" s="1200" t="e">
        <v>#DIV/0!</v>
      </c>
      <c r="AM350" s="1200" t="e">
        <v>#DIV/0!</v>
      </c>
      <c r="AN350" s="1200" t="e">
        <v>#DIV/0!</v>
      </c>
      <c r="AO350" s="1200" t="e">
        <v>#DIV/0!</v>
      </c>
      <c r="AP350" s="1200" t="e">
        <v>#DIV/0!</v>
      </c>
      <c r="AQ350" s="1200" t="e">
        <v>#DIV/0!</v>
      </c>
      <c r="AR350" s="1200">
        <v>4.5486910843953394</v>
      </c>
      <c r="AS350" s="1200" t="e">
        <v>#DIV/0!</v>
      </c>
      <c r="AT350" s="1200" t="e">
        <v>#DIV/0!</v>
      </c>
      <c r="AU350" s="1200" t="e">
        <v>#DIV/0!</v>
      </c>
      <c r="AV350" s="1200">
        <v>4.2566559245186522</v>
      </c>
      <c r="AW350" s="1200" t="e">
        <v>#DIV/0!</v>
      </c>
      <c r="AX350" s="1200" t="e">
        <v>#DIV/0!</v>
      </c>
      <c r="AY350" s="1200" t="e">
        <v>#DIV/0!</v>
      </c>
      <c r="AZ350" s="1200" t="e">
        <v>#DIV/0!</v>
      </c>
      <c r="BA350" s="1200">
        <v>3.9906679594483725</v>
      </c>
      <c r="BB350" s="1200" t="e">
        <v>#DIV/0!</v>
      </c>
      <c r="BC350" s="1200" t="e">
        <v>#DIV/0!</v>
      </c>
      <c r="BD350" s="1200" t="e">
        <v>#DIV/0!</v>
      </c>
      <c r="BE350" s="1200" t="e">
        <v>#DIV/0!</v>
      </c>
      <c r="BF350" s="1200">
        <v>6.2889184773331381</v>
      </c>
      <c r="BG350" s="1200" t="e">
        <v>#DIV/0!</v>
      </c>
      <c r="BH350" s="1200" t="e">
        <v>#DIV/0!</v>
      </c>
      <c r="BI350" s="1200" t="e">
        <v>#DIV/0!</v>
      </c>
      <c r="BJ350" s="1200" t="e">
        <v>#DIV/0!</v>
      </c>
      <c r="BK350" s="1200" t="e">
        <v>#DIV/0!</v>
      </c>
      <c r="BL350" s="1200">
        <v>49.548571145886584</v>
      </c>
      <c r="BM350" s="1200" t="e">
        <v>#DIV/0!</v>
      </c>
      <c r="BN350" s="1200" t="e">
        <v>#DIV/0!</v>
      </c>
      <c r="BO350" s="1200" t="e">
        <v>#DIV/0!</v>
      </c>
      <c r="BP350" s="1200" t="e">
        <v>#DIV/0!</v>
      </c>
      <c r="BQ350" s="1200" t="e">
        <v>#DIV/0!</v>
      </c>
      <c r="BR350" s="1200" t="e">
        <v>#DIV/0!</v>
      </c>
      <c r="BS350" s="1200" t="e">
        <v>#DIV/0!</v>
      </c>
      <c r="BT350" s="1200" t="e">
        <v>#DIV/0!</v>
      </c>
      <c r="BU350" s="1200" t="e">
        <v>#DIV/0!</v>
      </c>
      <c r="BV350" s="1200" t="e">
        <v>#DIV/0!</v>
      </c>
      <c r="BW350" s="1200" t="e">
        <v>#DIV/0!</v>
      </c>
      <c r="BX350" s="1200" t="e">
        <v>#DIV/0!</v>
      </c>
      <c r="BY350" s="1200" t="e">
        <v>#DIV/0!</v>
      </c>
      <c r="BZ350" s="1200" t="e">
        <v>#DIV/0!</v>
      </c>
      <c r="CA350" s="1200" t="e">
        <v>#DIV/0!</v>
      </c>
      <c r="CB350" s="1200" t="e">
        <v>#DIV/0!</v>
      </c>
    </row>
    <row r="351" spans="1:80" s="1156" customFormat="1" x14ac:dyDescent="0.3">
      <c r="A351" s="1222" t="s">
        <v>1200</v>
      </c>
      <c r="B351" s="1207"/>
      <c r="C351" s="1223" t="s">
        <v>1366</v>
      </c>
      <c r="D351" s="1154"/>
      <c r="E351" s="1219">
        <v>0</v>
      </c>
      <c r="F351" s="1219">
        <v>0</v>
      </c>
      <c r="G351" s="1219">
        <v>0</v>
      </c>
      <c r="H351" s="1219">
        <v>0</v>
      </c>
      <c r="I351" s="1219">
        <v>0</v>
      </c>
      <c r="J351" s="1219">
        <v>0</v>
      </c>
      <c r="K351" s="1219">
        <v>0</v>
      </c>
      <c r="L351" s="1219">
        <v>0</v>
      </c>
      <c r="M351" s="1219">
        <v>0</v>
      </c>
      <c r="N351" s="1219">
        <v>0</v>
      </c>
      <c r="O351" s="1219">
        <v>0</v>
      </c>
      <c r="P351" s="1219">
        <v>0</v>
      </c>
      <c r="Q351" s="1219">
        <v>0</v>
      </c>
      <c r="R351" s="1219">
        <v>0</v>
      </c>
      <c r="S351" s="1219">
        <v>0</v>
      </c>
      <c r="T351" s="1219">
        <v>3987433</v>
      </c>
      <c r="U351" s="1219">
        <v>0</v>
      </c>
      <c r="V351" s="1219">
        <v>10472746</v>
      </c>
      <c r="W351" s="1219">
        <v>0</v>
      </c>
      <c r="X351" s="1219">
        <v>0</v>
      </c>
      <c r="Y351" s="1219">
        <v>0</v>
      </c>
      <c r="Z351" s="1219">
        <v>0</v>
      </c>
      <c r="AA351" s="1219">
        <v>-59515</v>
      </c>
      <c r="AB351" s="1219">
        <v>-221014</v>
      </c>
      <c r="AC351" s="1219">
        <v>0</v>
      </c>
      <c r="AD351" s="1219">
        <v>0</v>
      </c>
      <c r="AE351" s="1219">
        <v>0</v>
      </c>
      <c r="AF351" s="1219">
        <v>1196308</v>
      </c>
      <c r="AG351" s="1219">
        <v>0</v>
      </c>
      <c r="AH351" s="1219">
        <v>0</v>
      </c>
      <c r="AI351" s="1219">
        <v>0</v>
      </c>
      <c r="AJ351" s="1219">
        <v>0</v>
      </c>
      <c r="AK351" s="1219">
        <v>1694260</v>
      </c>
      <c r="AL351" s="1219">
        <v>0</v>
      </c>
      <c r="AM351" s="1219">
        <v>0</v>
      </c>
      <c r="AN351" s="1219">
        <v>0</v>
      </c>
      <c r="AO351" s="1219">
        <v>0</v>
      </c>
      <c r="AP351" s="1219">
        <v>0</v>
      </c>
      <c r="AQ351" s="1219">
        <v>0</v>
      </c>
      <c r="AR351" s="1219">
        <v>4077146</v>
      </c>
      <c r="AS351" s="1219">
        <v>0</v>
      </c>
      <c r="AT351" s="1219">
        <v>0</v>
      </c>
      <c r="AU351" s="1219">
        <v>0</v>
      </c>
      <c r="AV351" s="1219">
        <v>1227845</v>
      </c>
      <c r="AW351" s="1219">
        <v>0</v>
      </c>
      <c r="AX351" s="1219">
        <v>0</v>
      </c>
      <c r="AY351" s="1219">
        <v>0</v>
      </c>
      <c r="AZ351" s="1219">
        <v>0</v>
      </c>
      <c r="BA351" s="1219">
        <v>120397</v>
      </c>
      <c r="BB351" s="1219">
        <v>0</v>
      </c>
      <c r="BC351" s="1219">
        <v>0</v>
      </c>
      <c r="BD351" s="1219">
        <v>0</v>
      </c>
      <c r="BE351" s="1219">
        <v>0</v>
      </c>
      <c r="BF351" s="1219">
        <v>2047824</v>
      </c>
      <c r="BG351" s="1219">
        <v>0</v>
      </c>
      <c r="BH351" s="1219">
        <v>0</v>
      </c>
      <c r="BI351" s="1219">
        <v>0</v>
      </c>
      <c r="BJ351" s="1219">
        <v>0</v>
      </c>
      <c r="BK351" s="1219">
        <v>0</v>
      </c>
      <c r="BL351" s="1219">
        <v>1095092</v>
      </c>
      <c r="BM351" s="1219">
        <v>0</v>
      </c>
      <c r="BN351" s="1219">
        <v>0</v>
      </c>
      <c r="BO351" s="1219">
        <v>0</v>
      </c>
      <c r="BP351" s="1219">
        <v>0</v>
      </c>
      <c r="BQ351" s="1219">
        <v>0</v>
      </c>
      <c r="BR351" s="1219">
        <v>0</v>
      </c>
      <c r="BS351" s="1219">
        <v>0</v>
      </c>
      <c r="BT351" s="1219">
        <v>0</v>
      </c>
      <c r="BU351" s="1219">
        <v>0</v>
      </c>
      <c r="BV351" s="1219">
        <v>0</v>
      </c>
      <c r="BW351" s="1219">
        <v>0</v>
      </c>
      <c r="BX351" s="1219">
        <v>0</v>
      </c>
      <c r="BY351" s="1219">
        <v>0</v>
      </c>
      <c r="BZ351" s="1219">
        <v>0</v>
      </c>
      <c r="CA351" s="1219">
        <v>0</v>
      </c>
      <c r="CB351" s="1219">
        <v>0</v>
      </c>
    </row>
    <row r="352" spans="1:80" s="1156" customFormat="1" x14ac:dyDescent="0.3">
      <c r="A352" s="1222" t="s">
        <v>1201</v>
      </c>
      <c r="B352" s="1207"/>
      <c r="C352" s="1223" t="s">
        <v>1202</v>
      </c>
      <c r="D352" s="1154"/>
      <c r="E352" s="1200" t="e">
        <v>#DIV/0!</v>
      </c>
      <c r="F352" s="1200" t="e">
        <v>#DIV/0!</v>
      </c>
      <c r="G352" s="1200" t="e">
        <v>#DIV/0!</v>
      </c>
      <c r="H352" s="1200" t="e">
        <v>#DIV/0!</v>
      </c>
      <c r="I352" s="1200" t="e">
        <v>#DIV/0!</v>
      </c>
      <c r="J352" s="1200" t="e">
        <v>#DIV/0!</v>
      </c>
      <c r="K352" s="1200" t="e">
        <v>#DIV/0!</v>
      </c>
      <c r="L352" s="1200" t="e">
        <v>#DIV/0!</v>
      </c>
      <c r="M352" s="1200" t="e">
        <v>#DIV/0!</v>
      </c>
      <c r="N352" s="1200" t="e">
        <v>#DIV/0!</v>
      </c>
      <c r="O352" s="1200" t="e">
        <v>#DIV/0!</v>
      </c>
      <c r="P352" s="1200" t="e">
        <v>#DIV/0!</v>
      </c>
      <c r="Q352" s="1200" t="e">
        <v>#DIV/0!</v>
      </c>
      <c r="R352" s="1200" t="e">
        <v>#DIV/0!</v>
      </c>
      <c r="S352" s="1200" t="e">
        <v>#DIV/0!</v>
      </c>
      <c r="T352" s="1200">
        <v>0.67862311351162219</v>
      </c>
      <c r="U352" s="1200" t="e">
        <v>#DIV/0!</v>
      </c>
      <c r="V352" s="1200">
        <v>0.68933911061376951</v>
      </c>
      <c r="W352" s="1200" t="e">
        <v>#DIV/0!</v>
      </c>
      <c r="X352" s="1200" t="e">
        <v>#DIV/0!</v>
      </c>
      <c r="Y352" s="1200" t="e">
        <v>#DIV/0!</v>
      </c>
      <c r="Z352" s="1200" t="e">
        <v>#DIV/0!</v>
      </c>
      <c r="AA352" s="1200">
        <v>0.21188255987319796</v>
      </c>
      <c r="AB352" s="1200">
        <v>0</v>
      </c>
      <c r="AC352" s="1200" t="e">
        <v>#DIV/0!</v>
      </c>
      <c r="AD352" s="1200" t="e">
        <v>#DIV/0!</v>
      </c>
      <c r="AE352" s="1200" t="e">
        <v>#DIV/0!</v>
      </c>
      <c r="AF352" s="1200">
        <v>8.9967913348218229E-2</v>
      </c>
      <c r="AG352" s="1200" t="e">
        <v>#DIV/0!</v>
      </c>
      <c r="AH352" s="1200" t="e">
        <v>#DIV/0!</v>
      </c>
      <c r="AI352" s="1200" t="e">
        <v>#DIV/0!</v>
      </c>
      <c r="AJ352" s="1200" t="e">
        <v>#DIV/0!</v>
      </c>
      <c r="AK352" s="1200">
        <v>7.650687019886894E-2</v>
      </c>
      <c r="AL352" s="1200" t="e">
        <v>#DIV/0!</v>
      </c>
      <c r="AM352" s="1200" t="e">
        <v>#DIV/0!</v>
      </c>
      <c r="AN352" s="1200" t="e">
        <v>#DIV/0!</v>
      </c>
      <c r="AO352" s="1200" t="e">
        <v>#DIV/0!</v>
      </c>
      <c r="AP352" s="1200" t="e">
        <v>#DIV/0!</v>
      </c>
      <c r="AQ352" s="1200" t="e">
        <v>#DIV/0!</v>
      </c>
      <c r="AR352" s="1200">
        <v>0.30842138038228811</v>
      </c>
      <c r="AS352" s="1200" t="e">
        <v>#DIV/0!</v>
      </c>
      <c r="AT352" s="1200" t="e">
        <v>#DIV/0!</v>
      </c>
      <c r="AU352" s="1200" t="e">
        <v>#DIV/0!</v>
      </c>
      <c r="AV352" s="1200">
        <v>0.43168207290773092</v>
      </c>
      <c r="AW352" s="1200" t="e">
        <v>#DIV/0!</v>
      </c>
      <c r="AX352" s="1200" t="e">
        <v>#DIV/0!</v>
      </c>
      <c r="AY352" s="1200" t="e">
        <v>#DIV/0!</v>
      </c>
      <c r="AZ352" s="1200" t="e">
        <v>#DIV/0!</v>
      </c>
      <c r="BA352" s="1200">
        <v>0.23313582578627293</v>
      </c>
      <c r="BB352" s="1200" t="e">
        <v>#DIV/0!</v>
      </c>
      <c r="BC352" s="1200" t="e">
        <v>#DIV/0!</v>
      </c>
      <c r="BD352" s="1200" t="e">
        <v>#DIV/0!</v>
      </c>
      <c r="BE352" s="1200" t="e">
        <v>#DIV/0!</v>
      </c>
      <c r="BF352" s="1200">
        <v>0.18437549361039662</v>
      </c>
      <c r="BG352" s="1200" t="e">
        <v>#DIV/0!</v>
      </c>
      <c r="BH352" s="1200" t="e">
        <v>#DIV/0!</v>
      </c>
      <c r="BI352" s="1200" t="e">
        <v>#DIV/0!</v>
      </c>
      <c r="BJ352" s="1200" t="e">
        <v>#DIV/0!</v>
      </c>
      <c r="BK352" s="1200" t="e">
        <v>#DIV/0!</v>
      </c>
      <c r="BL352" s="1200">
        <v>0.36864333071685912</v>
      </c>
      <c r="BM352" s="1200" t="e">
        <v>#DIV/0!</v>
      </c>
      <c r="BN352" s="1200" t="e">
        <v>#DIV/0!</v>
      </c>
      <c r="BO352" s="1200" t="e">
        <v>#DIV/0!</v>
      </c>
      <c r="BP352" s="1200" t="e">
        <v>#DIV/0!</v>
      </c>
      <c r="BQ352" s="1200" t="e">
        <v>#DIV/0!</v>
      </c>
      <c r="BR352" s="1200" t="e">
        <v>#DIV/0!</v>
      </c>
      <c r="BS352" s="1200" t="e">
        <v>#DIV/0!</v>
      </c>
      <c r="BT352" s="1200" t="e">
        <v>#DIV/0!</v>
      </c>
      <c r="BU352" s="1200" t="e">
        <v>#DIV/0!</v>
      </c>
      <c r="BV352" s="1200" t="e">
        <v>#DIV/0!</v>
      </c>
      <c r="BW352" s="1200" t="e">
        <v>#DIV/0!</v>
      </c>
      <c r="BX352" s="1200" t="e">
        <v>#DIV/0!</v>
      </c>
      <c r="BY352" s="1200" t="e">
        <v>#DIV/0!</v>
      </c>
      <c r="BZ352" s="1200" t="e">
        <v>#DIV/0!</v>
      </c>
      <c r="CA352" s="1200" t="e">
        <v>#DIV/0!</v>
      </c>
      <c r="CB352" s="1200" t="e">
        <v>#DIV/0!</v>
      </c>
    </row>
    <row r="353" spans="1:80" s="1156" customFormat="1" x14ac:dyDescent="0.3">
      <c r="A353" s="1206" t="s">
        <v>1809</v>
      </c>
      <c r="B353" s="1207"/>
      <c r="C353" s="1217" t="s">
        <v>1219</v>
      </c>
      <c r="D353" s="1154"/>
      <c r="E353" s="1224">
        <v>0</v>
      </c>
      <c r="F353" s="1224">
        <v>0</v>
      </c>
      <c r="G353" s="1224">
        <v>0</v>
      </c>
      <c r="H353" s="1224">
        <v>0</v>
      </c>
      <c r="I353" s="1224">
        <v>0</v>
      </c>
      <c r="J353" s="1224">
        <v>0</v>
      </c>
      <c r="K353" s="1224">
        <v>0</v>
      </c>
      <c r="L353" s="1224">
        <v>0</v>
      </c>
      <c r="M353" s="1224">
        <v>0</v>
      </c>
      <c r="N353" s="1224">
        <v>0</v>
      </c>
      <c r="O353" s="1224">
        <v>0</v>
      </c>
      <c r="P353" s="1224">
        <v>0</v>
      </c>
      <c r="Q353" s="1224">
        <v>0</v>
      </c>
      <c r="R353" s="1224">
        <v>0</v>
      </c>
      <c r="S353" s="1224">
        <v>0</v>
      </c>
      <c r="T353" s="1224">
        <v>14155967</v>
      </c>
      <c r="U353" s="1224">
        <v>0</v>
      </c>
      <c r="V353" s="1224">
        <v>59252165</v>
      </c>
      <c r="W353" s="1224">
        <v>0</v>
      </c>
      <c r="X353" s="1224">
        <v>0</v>
      </c>
      <c r="Y353" s="1224">
        <v>0</v>
      </c>
      <c r="Z353" s="1224">
        <v>0</v>
      </c>
      <c r="AA353" s="1224">
        <v>2231273</v>
      </c>
      <c r="AB353" s="1224">
        <v>2233672</v>
      </c>
      <c r="AC353" s="1224">
        <v>0</v>
      </c>
      <c r="AD353" s="1224">
        <v>0</v>
      </c>
      <c r="AE353" s="1224">
        <v>0</v>
      </c>
      <c r="AF353" s="1224">
        <v>6302282</v>
      </c>
      <c r="AG353" s="1224">
        <v>0</v>
      </c>
      <c r="AH353" s="1224">
        <v>0</v>
      </c>
      <c r="AI353" s="1224">
        <v>0</v>
      </c>
      <c r="AJ353" s="1224">
        <v>0</v>
      </c>
      <c r="AK353" s="1224">
        <v>19885700</v>
      </c>
      <c r="AL353" s="1224">
        <v>0</v>
      </c>
      <c r="AM353" s="1224">
        <v>0</v>
      </c>
      <c r="AN353" s="1224">
        <v>0</v>
      </c>
      <c r="AO353" s="1224">
        <v>0</v>
      </c>
      <c r="AP353" s="1224">
        <v>0</v>
      </c>
      <c r="AQ353" s="1224">
        <v>0</v>
      </c>
      <c r="AR353" s="1224">
        <v>69269380</v>
      </c>
      <c r="AS353" s="1224">
        <v>0</v>
      </c>
      <c r="AT353" s="1224">
        <v>0</v>
      </c>
      <c r="AU353" s="1224">
        <v>0</v>
      </c>
      <c r="AV353" s="1224">
        <v>7984319</v>
      </c>
      <c r="AW353" s="1224">
        <v>0</v>
      </c>
      <c r="AX353" s="1224">
        <v>0</v>
      </c>
      <c r="AY353" s="1224">
        <v>0</v>
      </c>
      <c r="AZ353" s="1224">
        <v>0</v>
      </c>
      <c r="BA353" s="1224">
        <v>11654139</v>
      </c>
      <c r="BB353" s="1224">
        <v>0</v>
      </c>
      <c r="BC353" s="1224">
        <v>0</v>
      </c>
      <c r="BD353" s="1224">
        <v>0</v>
      </c>
      <c r="BE353" s="1224">
        <v>0</v>
      </c>
      <c r="BF353" s="1224">
        <v>36563025</v>
      </c>
      <c r="BG353" s="1224">
        <v>0</v>
      </c>
      <c r="BH353" s="1224">
        <v>0</v>
      </c>
      <c r="BI353" s="1224">
        <v>0</v>
      </c>
      <c r="BJ353" s="1224">
        <v>0</v>
      </c>
      <c r="BK353" s="1224">
        <v>0</v>
      </c>
      <c r="BL353" s="1224">
        <v>6785633</v>
      </c>
      <c r="BM353" s="1224">
        <v>0</v>
      </c>
      <c r="BN353" s="1224">
        <v>0</v>
      </c>
      <c r="BO353" s="1224">
        <v>0</v>
      </c>
      <c r="BP353" s="1224">
        <v>0</v>
      </c>
      <c r="BQ353" s="1224">
        <v>0</v>
      </c>
      <c r="BR353" s="1224">
        <v>0</v>
      </c>
      <c r="BS353" s="1224">
        <v>0</v>
      </c>
      <c r="BT353" s="1224">
        <v>0</v>
      </c>
      <c r="BU353" s="1224">
        <v>0</v>
      </c>
      <c r="BV353" s="1224">
        <v>0</v>
      </c>
      <c r="BW353" s="1224">
        <v>0</v>
      </c>
      <c r="BX353" s="1224">
        <v>0</v>
      </c>
      <c r="BY353" s="1224">
        <v>0</v>
      </c>
      <c r="BZ353" s="1224">
        <v>0</v>
      </c>
      <c r="CA353" s="1224">
        <v>0</v>
      </c>
      <c r="CB353" s="1224">
        <v>0</v>
      </c>
    </row>
    <row r="354" spans="1:80" s="1156" customFormat="1" x14ac:dyDescent="0.3">
      <c r="A354" s="1216" t="s">
        <v>1218</v>
      </c>
      <c r="B354" s="1207"/>
      <c r="C354" s="1217"/>
      <c r="D354" s="1154"/>
      <c r="E354" s="1224"/>
      <c r="F354" s="1224"/>
      <c r="G354" s="1224"/>
      <c r="H354" s="1224"/>
      <c r="I354" s="1224"/>
      <c r="J354" s="1224"/>
      <c r="K354" s="1224"/>
      <c r="L354" s="1224"/>
      <c r="M354" s="1224"/>
      <c r="N354" s="1224"/>
      <c r="O354" s="1224"/>
      <c r="P354" s="1224"/>
      <c r="Q354" s="1224"/>
      <c r="R354" s="1224"/>
      <c r="S354" s="1224"/>
      <c r="T354" s="1224"/>
      <c r="U354" s="1224"/>
      <c r="V354" s="1224"/>
      <c r="W354" s="1224"/>
      <c r="X354" s="1224"/>
      <c r="Y354" s="1224"/>
      <c r="Z354" s="1224"/>
      <c r="AA354" s="1224"/>
      <c r="AB354" s="1224"/>
      <c r="AC354" s="1224"/>
      <c r="AD354" s="1224"/>
      <c r="AE354" s="1224"/>
      <c r="AF354" s="1224"/>
      <c r="AG354" s="1224"/>
      <c r="AH354" s="1224"/>
      <c r="AI354" s="1224"/>
      <c r="AJ354" s="1224"/>
      <c r="AK354" s="1224"/>
      <c r="AL354" s="1224"/>
      <c r="AM354" s="1224"/>
      <c r="AN354" s="1224"/>
      <c r="AO354" s="1224"/>
      <c r="AP354" s="1224"/>
      <c r="AQ354" s="1224"/>
      <c r="AR354" s="1224"/>
      <c r="AS354" s="1224"/>
      <c r="AT354" s="1224"/>
      <c r="AU354" s="1224"/>
      <c r="AV354" s="1224"/>
      <c r="AW354" s="1224"/>
      <c r="AX354" s="1224"/>
      <c r="AY354" s="1224"/>
      <c r="AZ354" s="1224"/>
      <c r="BA354" s="1224"/>
      <c r="BB354" s="1224"/>
      <c r="BC354" s="1224"/>
      <c r="BD354" s="1224"/>
      <c r="BE354" s="1224"/>
      <c r="BF354" s="1224"/>
      <c r="BG354" s="1224"/>
      <c r="BH354" s="1224"/>
      <c r="BI354" s="1224"/>
      <c r="BJ354" s="1224"/>
      <c r="BK354" s="1224"/>
      <c r="BL354" s="1224"/>
      <c r="BM354" s="1224"/>
      <c r="BN354" s="1224"/>
      <c r="BO354" s="1224"/>
      <c r="BP354" s="1224"/>
      <c r="BQ354" s="1224"/>
      <c r="BR354" s="1224"/>
      <c r="BS354" s="1224"/>
      <c r="BT354" s="1224"/>
      <c r="BU354" s="1224"/>
      <c r="BV354" s="1224"/>
      <c r="BW354" s="1224"/>
      <c r="BX354" s="1224"/>
      <c r="BY354" s="1224"/>
      <c r="BZ354" s="1224"/>
      <c r="CA354" s="1224"/>
      <c r="CB354" s="1224"/>
    </row>
    <row r="355" spans="1:80" s="1156" customFormat="1" x14ac:dyDescent="0.3">
      <c r="A355" s="1154" t="s">
        <v>1810</v>
      </c>
      <c r="B355" s="1154"/>
      <c r="C355" s="1154"/>
      <c r="D355" s="1154"/>
      <c r="E355" s="1224"/>
      <c r="F355" s="1224"/>
      <c r="G355" s="1224"/>
      <c r="H355" s="1224"/>
      <c r="I355" s="1224"/>
      <c r="J355" s="1224"/>
      <c r="K355" s="1224"/>
      <c r="L355" s="1224"/>
      <c r="M355" s="1224"/>
      <c r="N355" s="1224"/>
      <c r="O355" s="1224"/>
      <c r="P355" s="1224"/>
      <c r="Q355" s="1224"/>
      <c r="R355" s="1224"/>
      <c r="S355" s="1224"/>
      <c r="T355" s="1224"/>
      <c r="U355" s="1224"/>
      <c r="V355" s="1224"/>
      <c r="W355" s="1224"/>
      <c r="X355" s="1224"/>
      <c r="Y355" s="1224"/>
      <c r="Z355" s="1224"/>
      <c r="AA355" s="1224"/>
      <c r="AB355" s="1224"/>
      <c r="AC355" s="1224"/>
      <c r="AD355" s="1224"/>
      <c r="AE355" s="1224"/>
      <c r="AF355" s="1224"/>
      <c r="AG355" s="1224"/>
      <c r="AH355" s="1224"/>
      <c r="AI355" s="1224"/>
      <c r="AJ355" s="1224"/>
      <c r="AK355" s="1224"/>
      <c r="AL355" s="1224"/>
      <c r="AM355" s="1224"/>
      <c r="AN355" s="1224"/>
      <c r="AO355" s="1224"/>
      <c r="AP355" s="1224"/>
      <c r="AQ355" s="1224"/>
      <c r="AR355" s="1224"/>
      <c r="AS355" s="1224"/>
      <c r="AT355" s="1224"/>
      <c r="AU355" s="1224"/>
      <c r="AV355" s="1224"/>
      <c r="AW355" s="1224"/>
      <c r="AX355" s="1224"/>
      <c r="AY355" s="1224"/>
      <c r="AZ355" s="1224"/>
      <c r="BA355" s="1224"/>
      <c r="BB355" s="1224"/>
      <c r="BC355" s="1224"/>
      <c r="BD355" s="1224"/>
      <c r="BE355" s="1224"/>
      <c r="BF355" s="1224"/>
      <c r="BG355" s="1224"/>
      <c r="BH355" s="1224"/>
      <c r="BI355" s="1224"/>
      <c r="BJ355" s="1224"/>
      <c r="BK355" s="1224"/>
      <c r="BL355" s="1224"/>
      <c r="BM355" s="1224"/>
      <c r="BN355" s="1224"/>
      <c r="BO355" s="1224"/>
      <c r="BP355" s="1224"/>
      <c r="BQ355" s="1224"/>
      <c r="BR355" s="1224"/>
      <c r="BS355" s="1224"/>
      <c r="BT355" s="1224"/>
      <c r="BU355" s="1224"/>
      <c r="BV355" s="1224"/>
      <c r="BW355" s="1224"/>
      <c r="BX355" s="1224"/>
      <c r="BY355" s="1224"/>
      <c r="BZ355" s="1224"/>
      <c r="CA355" s="1224"/>
      <c r="CB355" s="1224"/>
    </row>
    <row r="356" spans="1:80" s="1156" customFormat="1" x14ac:dyDescent="0.3">
      <c r="A356" s="1154" t="s">
        <v>1810</v>
      </c>
      <c r="B356" s="1154"/>
      <c r="C356" s="1154"/>
      <c r="D356" s="1154"/>
      <c r="E356" s="1224"/>
      <c r="F356" s="1224"/>
      <c r="G356" s="1224"/>
      <c r="H356" s="1224"/>
      <c r="I356" s="1224"/>
      <c r="J356" s="1224"/>
      <c r="K356" s="1224"/>
      <c r="L356" s="1224"/>
      <c r="M356" s="1224"/>
      <c r="N356" s="1224"/>
      <c r="O356" s="1224"/>
      <c r="P356" s="1224"/>
      <c r="Q356" s="1224"/>
      <c r="R356" s="1224"/>
      <c r="S356" s="1224"/>
      <c r="T356" s="1224"/>
      <c r="U356" s="1224"/>
      <c r="V356" s="1224"/>
      <c r="W356" s="1224"/>
      <c r="X356" s="1224"/>
      <c r="Y356" s="1224"/>
      <c r="Z356" s="1224"/>
      <c r="AA356" s="1224"/>
      <c r="AB356" s="1224"/>
      <c r="AC356" s="1224"/>
      <c r="AD356" s="1224"/>
      <c r="AE356" s="1224"/>
      <c r="AF356" s="1224"/>
      <c r="AG356" s="1224"/>
      <c r="AH356" s="1224"/>
      <c r="AI356" s="1224"/>
      <c r="AJ356" s="1224"/>
      <c r="AK356" s="1224"/>
      <c r="AL356" s="1224"/>
      <c r="AM356" s="1224"/>
      <c r="AN356" s="1224"/>
      <c r="AO356" s="1224"/>
      <c r="AP356" s="1224"/>
      <c r="AQ356" s="1224"/>
      <c r="AR356" s="1224"/>
      <c r="AS356" s="1224"/>
      <c r="AT356" s="1224"/>
      <c r="AU356" s="1224"/>
      <c r="AV356" s="1224"/>
      <c r="AW356" s="1224"/>
      <c r="AX356" s="1224"/>
      <c r="AY356" s="1224"/>
      <c r="AZ356" s="1224"/>
      <c r="BA356" s="1224"/>
      <c r="BB356" s="1224"/>
      <c r="BC356" s="1224"/>
      <c r="BD356" s="1224"/>
      <c r="BE356" s="1224"/>
      <c r="BF356" s="1224"/>
      <c r="BG356" s="1224"/>
      <c r="BH356" s="1224"/>
      <c r="BI356" s="1224"/>
      <c r="BJ356" s="1224"/>
      <c r="BK356" s="1224"/>
      <c r="BL356" s="1224"/>
      <c r="BM356" s="1224"/>
      <c r="BN356" s="1224"/>
      <c r="BO356" s="1224"/>
      <c r="BP356" s="1224"/>
      <c r="BQ356" s="1224"/>
      <c r="BR356" s="1224"/>
      <c r="BS356" s="1224"/>
      <c r="BT356" s="1224"/>
      <c r="BU356" s="1224"/>
      <c r="BV356" s="1224"/>
      <c r="BW356" s="1224"/>
      <c r="BX356" s="1224"/>
      <c r="BY356" s="1224"/>
      <c r="BZ356" s="1224"/>
      <c r="CA356" s="1224"/>
      <c r="CB356" s="1224"/>
    </row>
    <row r="357" spans="1:80" x14ac:dyDescent="0.3">
      <c r="B357" s="1154"/>
      <c r="E357" s="1224"/>
      <c r="F357" s="1224"/>
      <c r="G357" s="1224"/>
      <c r="H357" s="1224"/>
      <c r="I357" s="1224"/>
      <c r="J357" s="1224"/>
      <c r="K357" s="1224"/>
      <c r="L357" s="1224"/>
      <c r="M357" s="1224"/>
      <c r="N357" s="1224"/>
      <c r="O357" s="1224"/>
      <c r="P357" s="1224"/>
      <c r="Q357" s="1224"/>
      <c r="R357" s="1224"/>
      <c r="S357" s="1224"/>
      <c r="T357" s="1224"/>
      <c r="U357" s="1224"/>
      <c r="V357" s="1224"/>
      <c r="W357" s="1224"/>
      <c r="X357" s="1224"/>
      <c r="Y357" s="1224"/>
      <c r="Z357" s="1224"/>
      <c r="AA357" s="1224"/>
      <c r="AB357" s="1224"/>
      <c r="AC357" s="1224"/>
      <c r="AD357" s="1224"/>
      <c r="AE357" s="1224"/>
      <c r="AF357" s="1224"/>
      <c r="AG357" s="1224"/>
      <c r="AH357" s="1224"/>
      <c r="AI357" s="1224"/>
      <c r="AJ357" s="1224"/>
      <c r="AK357" s="1224"/>
      <c r="AL357" s="1224"/>
      <c r="AM357" s="1224"/>
      <c r="AN357" s="1224"/>
      <c r="AO357" s="1224"/>
      <c r="AP357" s="1224"/>
      <c r="AQ357" s="1224"/>
      <c r="AR357" s="1224"/>
      <c r="AS357" s="1224"/>
      <c r="AT357" s="1224"/>
      <c r="AU357" s="1224"/>
      <c r="AV357" s="1224"/>
      <c r="AW357" s="1224"/>
      <c r="AX357" s="1224"/>
      <c r="AY357" s="1224"/>
      <c r="AZ357" s="1224"/>
      <c r="BA357" s="1224"/>
      <c r="BB357" s="1224"/>
      <c r="BC357" s="1224"/>
      <c r="BD357" s="1224"/>
      <c r="BE357" s="1224"/>
      <c r="BF357" s="1224"/>
      <c r="BG357" s="1224"/>
      <c r="BH357" s="1224"/>
      <c r="BI357" s="1224"/>
      <c r="BJ357" s="1224"/>
      <c r="BK357" s="1224"/>
      <c r="BL357" s="1224"/>
      <c r="BM357" s="1224"/>
      <c r="BN357" s="1224"/>
      <c r="BO357" s="1224"/>
      <c r="BP357" s="1224"/>
      <c r="BQ357" s="1224"/>
      <c r="BR357" s="1224"/>
      <c r="BS357" s="1224"/>
      <c r="BT357" s="1224"/>
      <c r="BU357" s="1224"/>
      <c r="BV357" s="1224"/>
      <c r="BW357" s="1224"/>
      <c r="BX357" s="1224"/>
      <c r="BY357" s="1224"/>
      <c r="BZ357" s="1224"/>
      <c r="CA357" s="1224"/>
      <c r="CB357" s="1224"/>
    </row>
    <row r="358" spans="1:80" x14ac:dyDescent="0.3">
      <c r="B358" s="1154"/>
      <c r="E358" s="1224"/>
      <c r="F358" s="1224"/>
      <c r="G358" s="1224"/>
      <c r="H358" s="1224"/>
      <c r="I358" s="1224"/>
      <c r="J358" s="1224"/>
      <c r="K358" s="1224"/>
      <c r="L358" s="1224"/>
      <c r="M358" s="1224"/>
      <c r="N358" s="1224"/>
      <c r="O358" s="1224"/>
      <c r="P358" s="1224"/>
      <c r="Q358" s="1224"/>
      <c r="R358" s="1224"/>
      <c r="S358" s="1224"/>
      <c r="T358" s="1224"/>
      <c r="U358" s="1224"/>
      <c r="V358" s="1224"/>
      <c r="W358" s="1224"/>
      <c r="X358" s="1224"/>
      <c r="Y358" s="1224"/>
      <c r="Z358" s="1224"/>
      <c r="AA358" s="1224"/>
      <c r="AB358" s="1224"/>
      <c r="AC358" s="1224"/>
      <c r="AD358" s="1224"/>
      <c r="AE358" s="1224"/>
      <c r="AF358" s="1224"/>
      <c r="AG358" s="1224"/>
      <c r="AH358" s="1224"/>
      <c r="AI358" s="1224"/>
      <c r="AJ358" s="1224"/>
      <c r="AK358" s="1224"/>
      <c r="AL358" s="1224"/>
      <c r="AM358" s="1224"/>
      <c r="AN358" s="1224"/>
      <c r="AO358" s="1224"/>
      <c r="AP358" s="1224"/>
      <c r="AQ358" s="1224"/>
      <c r="AR358" s="1224"/>
      <c r="AS358" s="1224"/>
      <c r="AT358" s="1224"/>
      <c r="AU358" s="1224"/>
      <c r="AV358" s="1224"/>
      <c r="AW358" s="1224"/>
      <c r="AX358" s="1224"/>
      <c r="AY358" s="1224"/>
      <c r="AZ358" s="1224"/>
      <c r="BA358" s="1224"/>
      <c r="BB358" s="1224"/>
      <c r="BC358" s="1224"/>
      <c r="BD358" s="1224"/>
      <c r="BE358" s="1224"/>
      <c r="BF358" s="1224"/>
      <c r="BG358" s="1224"/>
      <c r="BH358" s="1224"/>
      <c r="BI358" s="1224"/>
      <c r="BJ358" s="1224"/>
      <c r="BK358" s="1224"/>
      <c r="BL358" s="1224"/>
      <c r="BM358" s="1224"/>
      <c r="BN358" s="1224"/>
      <c r="BO358" s="1224"/>
      <c r="BP358" s="1224"/>
      <c r="BQ358" s="1224"/>
      <c r="BR358" s="1224"/>
      <c r="BS358" s="1224"/>
      <c r="BT358" s="1224"/>
      <c r="BU358" s="1224"/>
      <c r="BV358" s="1224"/>
      <c r="BW358" s="1224"/>
      <c r="BX358" s="1224"/>
      <c r="BY358" s="1224"/>
      <c r="BZ358" s="1224"/>
      <c r="CA358" s="1224"/>
      <c r="CB358" s="1224"/>
    </row>
    <row r="359" spans="1:80" x14ac:dyDescent="0.3">
      <c r="B359" s="1154"/>
      <c r="C359" s="1154" t="s">
        <v>1362</v>
      </c>
      <c r="E359" s="1224">
        <v>45910917.560000002</v>
      </c>
      <c r="F359" s="1224">
        <v>521221151.57999998</v>
      </c>
      <c r="G359" s="1224">
        <v>0.01</v>
      </c>
      <c r="H359" s="1224">
        <v>2244686579.3699999</v>
      </c>
      <c r="I359" s="1224">
        <v>272360433.13</v>
      </c>
      <c r="J359" s="1224">
        <v>13719201.42</v>
      </c>
      <c r="K359" s="1224">
        <v>107415269.31000002</v>
      </c>
      <c r="L359" s="1224">
        <v>71888241.410000011</v>
      </c>
      <c r="M359" s="1224">
        <v>2118104277.71</v>
      </c>
      <c r="N359" s="1224">
        <v>2645831.96</v>
      </c>
      <c r="O359" s="1224">
        <v>47850100.07</v>
      </c>
      <c r="P359" s="1224">
        <v>61643351.32</v>
      </c>
      <c r="Q359" s="1224">
        <v>918840625.10000002</v>
      </c>
      <c r="R359" s="1224">
        <v>575205637.47000003</v>
      </c>
      <c r="S359" s="1224">
        <v>323837398.88</v>
      </c>
      <c r="T359" s="1224">
        <v>830883221.75999999</v>
      </c>
      <c r="U359" s="1224">
        <v>0.01</v>
      </c>
      <c r="V359" s="1224">
        <v>1561960062.0099998</v>
      </c>
      <c r="W359" s="1224">
        <v>2120139.77</v>
      </c>
      <c r="X359" s="1224">
        <v>235941373.56</v>
      </c>
      <c r="Y359" s="1224">
        <v>542157435.52999997</v>
      </c>
      <c r="Z359" s="1224">
        <v>191540158.04999998</v>
      </c>
      <c r="AA359" s="1224">
        <v>156021205.58000001</v>
      </c>
      <c r="AB359" s="1224">
        <v>157770967.5</v>
      </c>
      <c r="AC359" s="1224">
        <v>18346381.970000003</v>
      </c>
      <c r="AD359" s="1224">
        <v>8236293.2799999993</v>
      </c>
      <c r="AE359" s="1224">
        <v>82621972.280000001</v>
      </c>
      <c r="AF359" s="1224">
        <v>198207580.80999997</v>
      </c>
      <c r="AG359" s="1224">
        <v>8614214.5199999996</v>
      </c>
      <c r="AH359" s="1224">
        <v>1341954.31</v>
      </c>
      <c r="AI359" s="1224">
        <v>7423573.5700000003</v>
      </c>
      <c r="AJ359" s="1224">
        <v>55080001.350000001</v>
      </c>
      <c r="AK359" s="1224">
        <v>565590748.71000004</v>
      </c>
      <c r="AL359" s="1224">
        <v>17115141.229999997</v>
      </c>
      <c r="AM359" s="1224">
        <v>1012688.58</v>
      </c>
      <c r="AN359" s="1224">
        <v>947175518.89999998</v>
      </c>
      <c r="AO359" s="1224">
        <v>819354782.04999995</v>
      </c>
      <c r="AP359" s="1224">
        <v>20294886.780000001</v>
      </c>
      <c r="AQ359" s="1224">
        <v>124764241.23</v>
      </c>
      <c r="AR359" s="1224">
        <v>1522936189.96</v>
      </c>
      <c r="AS359" s="1224">
        <v>90990145.690000013</v>
      </c>
      <c r="AT359" s="1224">
        <v>39863624.779999994</v>
      </c>
      <c r="AU359" s="1224">
        <v>124444573.18000001</v>
      </c>
      <c r="AV359" s="1224">
        <v>608838420.70000005</v>
      </c>
      <c r="AW359" s="1224">
        <v>19939648.740000002</v>
      </c>
      <c r="AX359" s="1224">
        <v>42896816.769999996</v>
      </c>
      <c r="AY359" s="1224">
        <v>157477033.10999998</v>
      </c>
      <c r="AZ359" s="1224">
        <v>128852247.46000001</v>
      </c>
      <c r="BA359" s="1224">
        <v>253795574.52000001</v>
      </c>
      <c r="BB359" s="1224">
        <v>1593729.96</v>
      </c>
      <c r="BC359" s="1224">
        <v>71282338.769999996</v>
      </c>
      <c r="BD359" s="1224">
        <v>9.9999999999999992E-2</v>
      </c>
      <c r="BE359" s="1224">
        <v>3542620.45</v>
      </c>
      <c r="BF359" s="1224">
        <v>1112064737.5300002</v>
      </c>
      <c r="BG359" s="1224">
        <v>9.9999999999999992E-2</v>
      </c>
      <c r="BH359" s="1224">
        <v>1857072.9</v>
      </c>
      <c r="BI359" s="1224">
        <v>112093025.17</v>
      </c>
      <c r="BJ359" s="1224">
        <v>115062754.48</v>
      </c>
      <c r="BK359" s="1224">
        <v>42325001.049999997</v>
      </c>
      <c r="BL359" s="1224">
        <v>312708449.58999997</v>
      </c>
      <c r="BM359" s="1224">
        <v>159122879.44</v>
      </c>
      <c r="BN359" s="1224">
        <v>1514376</v>
      </c>
      <c r="BO359" s="1224">
        <v>253937407.79999998</v>
      </c>
      <c r="BP359" s="1224">
        <v>138083771.79000002</v>
      </c>
      <c r="BQ359" s="1224">
        <v>72034547.940000013</v>
      </c>
      <c r="BR359" s="1224">
        <v>87550035.150000006</v>
      </c>
      <c r="BS359" s="1224">
        <v>59459765.159999996</v>
      </c>
      <c r="BT359" s="1224">
        <v>1036541905.46</v>
      </c>
      <c r="BU359" s="1224">
        <v>81677087.910000011</v>
      </c>
      <c r="BV359" s="1224">
        <v>165833036.41999999</v>
      </c>
      <c r="BW359" s="1224">
        <v>54367874.990000002</v>
      </c>
      <c r="BX359" s="1224">
        <v>46840255.809999995</v>
      </c>
      <c r="BY359" s="1224">
        <v>1653275.52</v>
      </c>
      <c r="BZ359" s="1224">
        <v>1959376.27</v>
      </c>
      <c r="CA359" s="1224">
        <v>794857738.95000005</v>
      </c>
      <c r="CB359" s="1224">
        <v>2209700.62</v>
      </c>
    </row>
    <row r="360" spans="1:80" x14ac:dyDescent="0.3">
      <c r="B360" s="1154"/>
      <c r="C360" s="1154" t="s">
        <v>1363</v>
      </c>
      <c r="E360" s="1224">
        <v>45910917.560000002</v>
      </c>
      <c r="F360" s="1224">
        <v>521221151.57999998</v>
      </c>
      <c r="G360" s="1224">
        <v>0.01</v>
      </c>
      <c r="H360" s="1224">
        <v>2244686579.3699999</v>
      </c>
      <c r="I360" s="1224">
        <v>272360433.13</v>
      </c>
      <c r="J360" s="1225">
        <v>13719201.42</v>
      </c>
      <c r="K360" s="1224">
        <v>107415269.31</v>
      </c>
      <c r="L360" s="1224">
        <v>71888241.409999996</v>
      </c>
      <c r="M360" s="1224">
        <v>2118104277.71</v>
      </c>
      <c r="N360" s="1224">
        <v>2645831.96</v>
      </c>
      <c r="O360" s="1224">
        <v>47850100.07</v>
      </c>
      <c r="P360" s="1224">
        <v>61643351.32</v>
      </c>
      <c r="Q360" s="1224">
        <v>918840625.10000002</v>
      </c>
      <c r="R360" s="1224">
        <v>575205637.47000003</v>
      </c>
      <c r="S360" s="1224">
        <v>323837398.88</v>
      </c>
      <c r="T360" s="1224">
        <v>830883221.75999999</v>
      </c>
      <c r="U360" s="1224">
        <v>0.01</v>
      </c>
      <c r="V360" s="1224">
        <v>1561960062.01</v>
      </c>
      <c r="W360" s="1224">
        <v>2120139.77</v>
      </c>
      <c r="X360" s="1224">
        <v>235941373.56</v>
      </c>
      <c r="Y360" s="1224">
        <v>542157435.52999997</v>
      </c>
      <c r="Z360" s="1224">
        <v>191540158.05000001</v>
      </c>
      <c r="AA360" s="1224">
        <v>156021205.58000001</v>
      </c>
      <c r="AB360" s="1224">
        <v>157770967.5</v>
      </c>
      <c r="AC360" s="1224">
        <v>18346381.969999999</v>
      </c>
      <c r="AD360" s="1224">
        <v>8236293.2800000003</v>
      </c>
      <c r="AE360" s="1224">
        <v>82621972.280000001</v>
      </c>
      <c r="AF360" s="1224">
        <v>198207580.81</v>
      </c>
      <c r="AG360" s="1224">
        <v>8614214.5199999996</v>
      </c>
      <c r="AH360" s="1224">
        <v>1341954.31</v>
      </c>
      <c r="AI360" s="1224">
        <v>7423573.5700000003</v>
      </c>
      <c r="AJ360" s="1224">
        <v>55080001.350000001</v>
      </c>
      <c r="AK360" s="1224">
        <v>565590748.71000004</v>
      </c>
      <c r="AL360" s="1224">
        <v>17115141.23</v>
      </c>
      <c r="AM360" s="1224">
        <v>1012688.58</v>
      </c>
      <c r="AN360" s="1224">
        <v>947175518.89999998</v>
      </c>
      <c r="AO360" s="1224">
        <v>819354782.04999995</v>
      </c>
      <c r="AP360" s="1224">
        <v>20294886.780000001</v>
      </c>
      <c r="AQ360" s="1224">
        <v>124764241.23</v>
      </c>
      <c r="AR360" s="1224">
        <v>1522936189.96</v>
      </c>
      <c r="AS360" s="1224">
        <v>90990145.689999998</v>
      </c>
      <c r="AT360" s="1224">
        <v>39863624.780000001</v>
      </c>
      <c r="AU360" s="1224">
        <v>124444573.18000001</v>
      </c>
      <c r="AV360" s="1224">
        <v>608838420.70000005</v>
      </c>
      <c r="AW360" s="1224">
        <v>19939648.739999998</v>
      </c>
      <c r="AX360" s="1224">
        <v>42896816.770000003</v>
      </c>
      <c r="AY360" s="1224">
        <v>157477033.11000001</v>
      </c>
      <c r="AZ360" s="1224">
        <v>128852247.45999999</v>
      </c>
      <c r="BA360" s="1224">
        <v>253795574.52000001</v>
      </c>
      <c r="BB360" s="1224">
        <v>1593729.96</v>
      </c>
      <c r="BC360" s="1224">
        <v>71282338.769999996</v>
      </c>
      <c r="BD360" s="1224">
        <v>0.1</v>
      </c>
      <c r="BE360" s="1224">
        <v>3542620.45</v>
      </c>
      <c r="BF360" s="1224">
        <v>1112064737.53</v>
      </c>
      <c r="BG360" s="1224">
        <v>0.1</v>
      </c>
      <c r="BH360" s="1224">
        <v>1857072.9</v>
      </c>
      <c r="BI360" s="1224">
        <v>112093025.17</v>
      </c>
      <c r="BJ360" s="1224">
        <v>115062754.48</v>
      </c>
      <c r="BK360" s="1224">
        <v>42325001.049999997</v>
      </c>
      <c r="BL360" s="1224">
        <v>312708449.58999997</v>
      </c>
      <c r="BM360" s="1224">
        <v>159122879.44</v>
      </c>
      <c r="BN360" s="1224">
        <v>1514376</v>
      </c>
      <c r="BO360" s="1224">
        <v>253937407.80000001</v>
      </c>
      <c r="BP360" s="1224">
        <v>138083771.78999999</v>
      </c>
      <c r="BQ360" s="1224">
        <v>72034547.939999998</v>
      </c>
      <c r="BR360" s="1224">
        <v>87550035.150000006</v>
      </c>
      <c r="BS360" s="1224">
        <v>59459765.159999996</v>
      </c>
      <c r="BT360" s="1224">
        <v>1036541905.46</v>
      </c>
      <c r="BU360" s="1224">
        <v>81677087.909999996</v>
      </c>
      <c r="BV360" s="1224">
        <v>165833036.41999999</v>
      </c>
      <c r="BW360" s="1224">
        <v>54367874.990000002</v>
      </c>
      <c r="BX360" s="1224">
        <v>46840255.810000002</v>
      </c>
      <c r="BY360" s="1224">
        <v>1653275.52</v>
      </c>
      <c r="BZ360" s="1224">
        <v>1959376.27</v>
      </c>
      <c r="CA360" s="1224">
        <v>794857738.95000005</v>
      </c>
      <c r="CB360" s="1224">
        <v>2209700.62</v>
      </c>
    </row>
    <row r="361" spans="1:80" x14ac:dyDescent="0.3">
      <c r="B361" s="1154"/>
      <c r="E361" s="1224">
        <v>0</v>
      </c>
      <c r="F361" s="1224">
        <v>0</v>
      </c>
      <c r="G361" s="1224">
        <v>0</v>
      </c>
      <c r="H361" s="1224">
        <v>0</v>
      </c>
      <c r="I361" s="1224">
        <v>0</v>
      </c>
      <c r="J361" s="1224">
        <v>0</v>
      </c>
      <c r="K361" s="1224">
        <v>0</v>
      </c>
      <c r="L361" s="1224">
        <v>0</v>
      </c>
      <c r="M361" s="1224">
        <v>0</v>
      </c>
      <c r="N361" s="1224">
        <v>0</v>
      </c>
      <c r="O361" s="1224">
        <v>0</v>
      </c>
      <c r="P361" s="1224">
        <v>0</v>
      </c>
      <c r="Q361" s="1224">
        <v>0</v>
      </c>
      <c r="R361" s="1224">
        <v>0</v>
      </c>
      <c r="S361" s="1224">
        <v>0</v>
      </c>
      <c r="T361" s="1224">
        <v>0</v>
      </c>
      <c r="U361" s="1224">
        <v>0</v>
      </c>
      <c r="V361" s="1224">
        <v>0</v>
      </c>
      <c r="W361" s="1224">
        <v>0</v>
      </c>
      <c r="X361" s="1224">
        <v>0</v>
      </c>
      <c r="Y361" s="1224">
        <v>0</v>
      </c>
      <c r="Z361" s="1224">
        <v>0</v>
      </c>
      <c r="AA361" s="1224">
        <v>0</v>
      </c>
      <c r="AB361" s="1224">
        <v>0</v>
      </c>
      <c r="AC361" s="1224">
        <v>0</v>
      </c>
      <c r="AD361" s="1224">
        <v>0</v>
      </c>
      <c r="AE361" s="1224">
        <v>0</v>
      </c>
      <c r="AF361" s="1224">
        <v>0</v>
      </c>
      <c r="AG361" s="1224">
        <v>0</v>
      </c>
      <c r="AH361" s="1224">
        <v>0</v>
      </c>
      <c r="AI361" s="1224">
        <v>0</v>
      </c>
      <c r="AJ361" s="1224">
        <v>0</v>
      </c>
      <c r="AK361" s="1224">
        <v>0</v>
      </c>
      <c r="AL361" s="1224">
        <v>0</v>
      </c>
      <c r="AM361" s="1224">
        <v>0</v>
      </c>
      <c r="AN361" s="1224">
        <v>0</v>
      </c>
      <c r="AO361" s="1224">
        <v>0</v>
      </c>
      <c r="AP361" s="1224">
        <v>0</v>
      </c>
      <c r="AQ361" s="1224">
        <v>0</v>
      </c>
      <c r="AR361" s="1224">
        <v>0</v>
      </c>
      <c r="AS361" s="1224">
        <v>0</v>
      </c>
      <c r="AT361" s="1224">
        <v>0</v>
      </c>
      <c r="AU361" s="1224">
        <v>0</v>
      </c>
      <c r="AV361" s="1224">
        <v>0</v>
      </c>
      <c r="AW361" s="1224">
        <v>0</v>
      </c>
      <c r="AX361" s="1224">
        <v>0</v>
      </c>
      <c r="AY361" s="1224">
        <v>0</v>
      </c>
      <c r="AZ361" s="1224">
        <v>0</v>
      </c>
      <c r="BA361" s="1224">
        <v>0</v>
      </c>
      <c r="BB361" s="1224">
        <v>0</v>
      </c>
      <c r="BC361" s="1224">
        <v>0</v>
      </c>
      <c r="BD361" s="1224">
        <v>0</v>
      </c>
      <c r="BE361" s="1224">
        <v>0</v>
      </c>
      <c r="BF361" s="1224">
        <v>0</v>
      </c>
      <c r="BG361" s="1224">
        <v>0</v>
      </c>
      <c r="BH361" s="1224">
        <v>0</v>
      </c>
      <c r="BI361" s="1224">
        <v>0</v>
      </c>
      <c r="BJ361" s="1224">
        <v>0</v>
      </c>
      <c r="BK361" s="1224">
        <v>0</v>
      </c>
      <c r="BL361" s="1224">
        <v>0</v>
      </c>
      <c r="BM361" s="1224">
        <v>0</v>
      </c>
      <c r="BN361" s="1224">
        <v>0</v>
      </c>
      <c r="BO361" s="1224">
        <v>0</v>
      </c>
      <c r="BP361" s="1224">
        <v>0</v>
      </c>
      <c r="BQ361" s="1224">
        <v>0</v>
      </c>
      <c r="BR361" s="1224">
        <v>0</v>
      </c>
      <c r="BS361" s="1224">
        <v>0</v>
      </c>
      <c r="BT361" s="1224">
        <v>0</v>
      </c>
      <c r="BU361" s="1224">
        <v>0</v>
      </c>
      <c r="BV361" s="1224">
        <v>0</v>
      </c>
      <c r="BW361" s="1224">
        <v>0</v>
      </c>
      <c r="BX361" s="1224">
        <v>0</v>
      </c>
      <c r="BY361" s="1224">
        <v>0</v>
      </c>
      <c r="BZ361" s="1224">
        <v>0</v>
      </c>
      <c r="CA361" s="1224">
        <v>0</v>
      </c>
      <c r="CB361" s="1224">
        <v>0</v>
      </c>
    </row>
    <row r="362" spans="1:80" x14ac:dyDescent="0.3">
      <c r="B362" s="1154"/>
      <c r="E362" s="1224"/>
      <c r="F362" s="1224"/>
      <c r="G362" s="1224"/>
      <c r="H362" s="1224"/>
      <c r="I362" s="1224"/>
      <c r="J362" s="1224"/>
      <c r="K362" s="1224"/>
      <c r="L362" s="1224"/>
      <c r="M362" s="1224"/>
      <c r="N362" s="1224"/>
      <c r="O362" s="1224"/>
      <c r="P362" s="1224"/>
      <c r="Q362" s="1224"/>
      <c r="R362" s="1224"/>
      <c r="S362" s="1224"/>
      <c r="T362" s="1224"/>
      <c r="U362" s="1224"/>
      <c r="V362" s="1224"/>
      <c r="W362" s="1224"/>
      <c r="X362" s="1224"/>
      <c r="Y362" s="1224"/>
      <c r="Z362" s="1224"/>
      <c r="AA362" s="1224"/>
      <c r="AB362" s="1224"/>
      <c r="AC362" s="1224"/>
      <c r="AD362" s="1224"/>
      <c r="AE362" s="1224"/>
      <c r="AF362" s="1224"/>
      <c r="AG362" s="1224"/>
      <c r="AH362" s="1224"/>
      <c r="AI362" s="1224"/>
      <c r="AJ362" s="1224"/>
      <c r="AK362" s="1224"/>
      <c r="AL362" s="1224"/>
      <c r="AM362" s="1224"/>
      <c r="AN362" s="1224"/>
      <c r="AO362" s="1224"/>
      <c r="AP362" s="1224"/>
      <c r="AQ362" s="1224"/>
      <c r="AR362" s="1224"/>
      <c r="AS362" s="1224"/>
      <c r="AT362" s="1224"/>
      <c r="AU362" s="1224"/>
      <c r="AV362" s="1224"/>
      <c r="AW362" s="1224"/>
      <c r="AX362" s="1224"/>
      <c r="AY362" s="1224"/>
      <c r="AZ362" s="1224"/>
      <c r="BA362" s="1224"/>
      <c r="BB362" s="1224"/>
      <c r="BC362" s="1224"/>
      <c r="BD362" s="1224"/>
      <c r="BE362" s="1224"/>
      <c r="BF362" s="1224"/>
      <c r="BG362" s="1224"/>
      <c r="BH362" s="1224"/>
      <c r="BI362" s="1224"/>
      <c r="BJ362" s="1224"/>
      <c r="BK362" s="1224"/>
      <c r="BL362" s="1224"/>
      <c r="BM362" s="1224"/>
      <c r="BN362" s="1224"/>
      <c r="BO362" s="1224"/>
      <c r="BP362" s="1224"/>
      <c r="BQ362" s="1224"/>
      <c r="BR362" s="1224"/>
      <c r="BS362" s="1224"/>
      <c r="BT362" s="1224"/>
      <c r="BU362" s="1224"/>
      <c r="BV362" s="1224"/>
      <c r="BW362" s="1224"/>
      <c r="BX362" s="1224"/>
      <c r="BY362" s="1224"/>
      <c r="BZ362" s="1224"/>
      <c r="CA362" s="1224"/>
      <c r="CB362" s="1224"/>
    </row>
    <row r="363" spans="1:80" x14ac:dyDescent="0.3">
      <c r="B363" s="1154"/>
      <c r="E363" s="1224" t="e">
        <f>E44/(E49-E36+E97+E115)</f>
        <v>#DIV/0!</v>
      </c>
      <c r="F363" s="1224" t="e">
        <f t="shared" ref="F363:BQ363" si="0">F44/(F49-F36+F97+F115)</f>
        <v>#DIV/0!</v>
      </c>
      <c r="G363" s="1224" t="e">
        <f t="shared" si="0"/>
        <v>#DIV/0!</v>
      </c>
      <c r="H363" s="1224">
        <f t="shared" si="0"/>
        <v>1.893630577468397</v>
      </c>
      <c r="I363" s="1224">
        <f t="shared" si="0"/>
        <v>3.3993300613705566</v>
      </c>
      <c r="J363" s="1224">
        <f t="shared" si="0"/>
        <v>1.0429155180166969</v>
      </c>
      <c r="K363" s="1224">
        <f t="shared" si="0"/>
        <v>9.1723695302615127</v>
      </c>
      <c r="L363" s="1224">
        <f t="shared" si="0"/>
        <v>0.77074673621340217</v>
      </c>
      <c r="M363" s="1224">
        <f t="shared" si="0"/>
        <v>0.14632723996000957</v>
      </c>
      <c r="N363" s="1224" t="e">
        <f t="shared" si="0"/>
        <v>#DIV/0!</v>
      </c>
      <c r="O363" s="1224">
        <f t="shared" si="0"/>
        <v>2.7982625329606163</v>
      </c>
      <c r="P363" s="1224">
        <f t="shared" si="0"/>
        <v>0.74984045583581171</v>
      </c>
      <c r="Q363" s="1224" t="e">
        <f t="shared" si="0"/>
        <v>#DIV/0!</v>
      </c>
      <c r="R363" s="1224">
        <f t="shared" si="0"/>
        <v>2.2393701734299118</v>
      </c>
      <c r="S363" s="1224">
        <f t="shared" si="0"/>
        <v>1.1786645714580075</v>
      </c>
      <c r="T363" s="1224">
        <f t="shared" si="0"/>
        <v>1.1040033328675409</v>
      </c>
      <c r="U363" s="1224" t="e">
        <f t="shared" si="0"/>
        <v>#DIV/0!</v>
      </c>
      <c r="V363" s="1224">
        <f t="shared" si="0"/>
        <v>0.59763386766577475</v>
      </c>
      <c r="W363" s="1224" t="e">
        <f t="shared" si="0"/>
        <v>#DIV/0!</v>
      </c>
      <c r="X363" s="1224" t="e">
        <f t="shared" si="0"/>
        <v>#DIV/0!</v>
      </c>
      <c r="Y363" s="1224">
        <f t="shared" si="0"/>
        <v>0.25522573675351107</v>
      </c>
      <c r="Z363" s="1224">
        <f t="shared" si="0"/>
        <v>1.2959414648687315</v>
      </c>
      <c r="AA363" s="1224">
        <f t="shared" si="0"/>
        <v>1.403004493579258</v>
      </c>
      <c r="AB363" s="1224">
        <f t="shared" si="0"/>
        <v>0.40750461938922672</v>
      </c>
      <c r="AC363" s="1224" t="e">
        <f t="shared" si="0"/>
        <v>#DIV/0!</v>
      </c>
      <c r="AD363" s="1224">
        <f t="shared" si="0"/>
        <v>0.51509951956074129</v>
      </c>
      <c r="AE363" s="1224">
        <f t="shared" si="0"/>
        <v>2.1328275606470868</v>
      </c>
      <c r="AF363" s="1224">
        <f t="shared" si="0"/>
        <v>0.5924211400608328</v>
      </c>
      <c r="AG363" s="1224">
        <f t="shared" si="0"/>
        <v>1.08521825192272</v>
      </c>
      <c r="AH363" s="1224" t="e">
        <f t="shared" si="0"/>
        <v>#DIV/0!</v>
      </c>
      <c r="AI363" s="1224" t="e">
        <f t="shared" si="0"/>
        <v>#DIV/0!</v>
      </c>
      <c r="AJ363" s="1224">
        <f t="shared" si="0"/>
        <v>1.9425668202548088</v>
      </c>
      <c r="AK363" s="1224">
        <f t="shared" si="0"/>
        <v>0.89382235307558744</v>
      </c>
      <c r="AL363" s="1224">
        <f t="shared" si="0"/>
        <v>2.0139508481367705</v>
      </c>
      <c r="AM363" s="1224" t="e">
        <f t="shared" si="0"/>
        <v>#DIV/0!</v>
      </c>
      <c r="AN363" s="1224">
        <f t="shared" si="0"/>
        <v>4.0857062576493499</v>
      </c>
      <c r="AO363" s="1224">
        <f t="shared" si="0"/>
        <v>1.1154509698011175</v>
      </c>
      <c r="AP363" s="1224">
        <f t="shared" si="0"/>
        <v>9.4010681025731568E-2</v>
      </c>
      <c r="AQ363" s="1224" t="e">
        <f t="shared" si="0"/>
        <v>#DIV/0!</v>
      </c>
      <c r="AR363" s="1224">
        <f t="shared" si="0"/>
        <v>0.48219965702239498</v>
      </c>
      <c r="AS363" s="1224">
        <f t="shared" si="0"/>
        <v>1.2084067227100952</v>
      </c>
      <c r="AT363" s="1224">
        <f t="shared" si="0"/>
        <v>0.7825926258557917</v>
      </c>
      <c r="AU363" s="1224">
        <f t="shared" si="0"/>
        <v>0.65053932640465262</v>
      </c>
      <c r="AV363" s="1224">
        <f t="shared" si="0"/>
        <v>1.0300119588191372</v>
      </c>
      <c r="AW363" s="1224">
        <f t="shared" si="0"/>
        <v>3.5808761447035136</v>
      </c>
      <c r="AX363" s="1224">
        <f t="shared" si="0"/>
        <v>1.5753719812803659</v>
      </c>
      <c r="AY363" s="1224">
        <f t="shared" si="0"/>
        <v>0.60454054860170259</v>
      </c>
      <c r="AZ363" s="1224">
        <f t="shared" si="0"/>
        <v>0.46015112315099793</v>
      </c>
      <c r="BA363" s="1224">
        <f t="shared" si="0"/>
        <v>0.53628937106556196</v>
      </c>
      <c r="BB363" s="1224">
        <f t="shared" si="0"/>
        <v>1.5504557577889152E-2</v>
      </c>
      <c r="BC363" s="1224">
        <f t="shared" si="0"/>
        <v>0.47608897536815109</v>
      </c>
      <c r="BD363" s="1224" t="e">
        <f t="shared" si="0"/>
        <v>#DIV/0!</v>
      </c>
      <c r="BE363" s="1224" t="e">
        <f t="shared" si="0"/>
        <v>#DIV/0!</v>
      </c>
      <c r="BF363" s="1224">
        <f t="shared" si="0"/>
        <v>0.12070370681443221</v>
      </c>
      <c r="BG363" s="1224" t="e">
        <f t="shared" si="0"/>
        <v>#DIV/0!</v>
      </c>
      <c r="BH363" s="1224" t="e">
        <f t="shared" si="0"/>
        <v>#DIV/0!</v>
      </c>
      <c r="BI363" s="1224">
        <f t="shared" si="0"/>
        <v>0.4469558455527341</v>
      </c>
      <c r="BJ363" s="1224">
        <f t="shared" si="0"/>
        <v>2.2517835786090625</v>
      </c>
      <c r="BK363" s="1224">
        <f t="shared" si="0"/>
        <v>0</v>
      </c>
      <c r="BL363" s="1224">
        <f t="shared" si="0"/>
        <v>2.2156268927922471</v>
      </c>
      <c r="BM363" s="1224">
        <f t="shared" si="0"/>
        <v>1.7881104314201071</v>
      </c>
      <c r="BN363" s="1224" t="e">
        <f t="shared" si="0"/>
        <v>#DIV/0!</v>
      </c>
      <c r="BO363" s="1224">
        <f t="shared" si="0"/>
        <v>0.50086017791550719</v>
      </c>
      <c r="BP363" s="1224">
        <f t="shared" si="0"/>
        <v>4.1043090817196504</v>
      </c>
      <c r="BQ363" s="1224">
        <f t="shared" si="0"/>
        <v>1.8411814523494539</v>
      </c>
      <c r="BR363" s="1224">
        <f t="shared" ref="BR363:CB363" si="1">BR44/(BR49-BR36+BR97+BR115)</f>
        <v>1.4020216051734358</v>
      </c>
      <c r="BS363" s="1224" t="e">
        <f t="shared" si="1"/>
        <v>#DIV/0!</v>
      </c>
      <c r="BT363" s="1224" t="e">
        <f t="shared" si="1"/>
        <v>#DIV/0!</v>
      </c>
      <c r="BU363" s="1224">
        <f t="shared" si="1"/>
        <v>1.3777772769395367</v>
      </c>
      <c r="BV363" s="1224">
        <f t="shared" si="1"/>
        <v>0.69278725117427076</v>
      </c>
      <c r="BW363" s="1224">
        <f t="shared" si="1"/>
        <v>0.36200716085624834</v>
      </c>
      <c r="BX363" s="1224">
        <f t="shared" si="1"/>
        <v>1.1283249635358208</v>
      </c>
      <c r="BY363" s="1224" t="e">
        <f t="shared" si="1"/>
        <v>#DIV/0!</v>
      </c>
      <c r="BZ363" s="1224" t="e">
        <f t="shared" si="1"/>
        <v>#DIV/0!</v>
      </c>
      <c r="CA363" s="1224">
        <f t="shared" si="1"/>
        <v>1.167554668186698</v>
      </c>
      <c r="CB363" s="1224" t="e">
        <f t="shared" si="1"/>
        <v>#DIV/0!</v>
      </c>
    </row>
    <row r="364" spans="1:80" x14ac:dyDescent="0.3">
      <c r="B364" s="1154"/>
      <c r="E364" s="1224" t="e">
        <f>E349-E363</f>
        <v>#DIV/0!</v>
      </c>
      <c r="F364" s="1224" t="e">
        <f t="shared" ref="F364:BQ364" si="2">F349-F363</f>
        <v>#DIV/0!</v>
      </c>
      <c r="G364" s="1224" t="e">
        <f t="shared" si="2"/>
        <v>#DIV/0!</v>
      </c>
      <c r="H364" s="1224">
        <f t="shared" si="2"/>
        <v>0</v>
      </c>
      <c r="I364" s="1224">
        <f t="shared" si="2"/>
        <v>0</v>
      </c>
      <c r="J364" s="1224">
        <f t="shared" si="2"/>
        <v>0</v>
      </c>
      <c r="K364" s="1224">
        <f t="shared" si="2"/>
        <v>0</v>
      </c>
      <c r="L364" s="1224">
        <f t="shared" si="2"/>
        <v>0</v>
      </c>
      <c r="M364" s="1224">
        <f t="shared" si="2"/>
        <v>0</v>
      </c>
      <c r="N364" s="1224" t="e">
        <f t="shared" si="2"/>
        <v>#DIV/0!</v>
      </c>
      <c r="O364" s="1224">
        <f t="shared" si="2"/>
        <v>0</v>
      </c>
      <c r="P364" s="1224">
        <f t="shared" si="2"/>
        <v>0</v>
      </c>
      <c r="Q364" s="1224" t="e">
        <f t="shared" si="2"/>
        <v>#DIV/0!</v>
      </c>
      <c r="R364" s="1224">
        <f t="shared" si="2"/>
        <v>0</v>
      </c>
      <c r="S364" s="1224">
        <f t="shared" si="2"/>
        <v>0</v>
      </c>
      <c r="T364" s="1224">
        <f t="shared" si="2"/>
        <v>0</v>
      </c>
      <c r="U364" s="1224" t="e">
        <f t="shared" si="2"/>
        <v>#DIV/0!</v>
      </c>
      <c r="V364" s="1224">
        <f t="shared" si="2"/>
        <v>0</v>
      </c>
      <c r="W364" s="1224" t="e">
        <f t="shared" si="2"/>
        <v>#DIV/0!</v>
      </c>
      <c r="X364" s="1224" t="e">
        <f t="shared" si="2"/>
        <v>#DIV/0!</v>
      </c>
      <c r="Y364" s="1224">
        <f t="shared" si="2"/>
        <v>0</v>
      </c>
      <c r="Z364" s="1224">
        <f t="shared" si="2"/>
        <v>0</v>
      </c>
      <c r="AA364" s="1224">
        <f t="shared" si="2"/>
        <v>0</v>
      </c>
      <c r="AB364" s="1224">
        <f t="shared" si="2"/>
        <v>0</v>
      </c>
      <c r="AC364" s="1224" t="e">
        <f t="shared" si="2"/>
        <v>#DIV/0!</v>
      </c>
      <c r="AD364" s="1224">
        <f t="shared" si="2"/>
        <v>0</v>
      </c>
      <c r="AE364" s="1224">
        <f t="shared" si="2"/>
        <v>0</v>
      </c>
      <c r="AF364" s="1224">
        <f t="shared" si="2"/>
        <v>0</v>
      </c>
      <c r="AG364" s="1224">
        <f t="shared" si="2"/>
        <v>0</v>
      </c>
      <c r="AH364" s="1224" t="e">
        <f t="shared" si="2"/>
        <v>#DIV/0!</v>
      </c>
      <c r="AI364" s="1224" t="e">
        <f t="shared" si="2"/>
        <v>#DIV/0!</v>
      </c>
      <c r="AJ364" s="1224">
        <f t="shared" si="2"/>
        <v>0</v>
      </c>
      <c r="AK364" s="1224">
        <f t="shared" si="2"/>
        <v>0</v>
      </c>
      <c r="AL364" s="1224">
        <f t="shared" si="2"/>
        <v>0</v>
      </c>
      <c r="AM364" s="1224" t="e">
        <f t="shared" si="2"/>
        <v>#DIV/0!</v>
      </c>
      <c r="AN364" s="1224">
        <f t="shared" si="2"/>
        <v>0</v>
      </c>
      <c r="AO364" s="1224">
        <f t="shared" si="2"/>
        <v>0</v>
      </c>
      <c r="AP364" s="1224">
        <f t="shared" si="2"/>
        <v>0</v>
      </c>
      <c r="AQ364" s="1224" t="e">
        <f t="shared" si="2"/>
        <v>#DIV/0!</v>
      </c>
      <c r="AR364" s="1224">
        <f t="shared" si="2"/>
        <v>0</v>
      </c>
      <c r="AS364" s="1224">
        <f t="shared" si="2"/>
        <v>0</v>
      </c>
      <c r="AT364" s="1224">
        <f t="shared" si="2"/>
        <v>0</v>
      </c>
      <c r="AU364" s="1224">
        <f t="shared" si="2"/>
        <v>0</v>
      </c>
      <c r="AV364" s="1224">
        <f t="shared" si="2"/>
        <v>0</v>
      </c>
      <c r="AW364" s="1224">
        <f t="shared" si="2"/>
        <v>0</v>
      </c>
      <c r="AX364" s="1224">
        <f t="shared" si="2"/>
        <v>0</v>
      </c>
      <c r="AY364" s="1224">
        <f t="shared" si="2"/>
        <v>0</v>
      </c>
      <c r="AZ364" s="1224">
        <f t="shared" si="2"/>
        <v>0</v>
      </c>
      <c r="BA364" s="1224">
        <f t="shared" si="2"/>
        <v>0</v>
      </c>
      <c r="BB364" s="1224">
        <f t="shared" si="2"/>
        <v>0</v>
      </c>
      <c r="BC364" s="1224">
        <f t="shared" si="2"/>
        <v>0</v>
      </c>
      <c r="BD364" s="1224" t="e">
        <f t="shared" si="2"/>
        <v>#DIV/0!</v>
      </c>
      <c r="BE364" s="1224" t="e">
        <f t="shared" si="2"/>
        <v>#DIV/0!</v>
      </c>
      <c r="BF364" s="1224">
        <f t="shared" si="2"/>
        <v>0</v>
      </c>
      <c r="BG364" s="1224" t="e">
        <f t="shared" si="2"/>
        <v>#DIV/0!</v>
      </c>
      <c r="BH364" s="1224" t="e">
        <f t="shared" si="2"/>
        <v>#DIV/0!</v>
      </c>
      <c r="BI364" s="1224">
        <f t="shared" si="2"/>
        <v>0</v>
      </c>
      <c r="BJ364" s="1224">
        <f t="shared" si="2"/>
        <v>0</v>
      </c>
      <c r="BK364" s="1224">
        <f t="shared" si="2"/>
        <v>0</v>
      </c>
      <c r="BL364" s="1224">
        <f t="shared" si="2"/>
        <v>0</v>
      </c>
      <c r="BM364" s="1224">
        <f t="shared" si="2"/>
        <v>0</v>
      </c>
      <c r="BN364" s="1224" t="e">
        <f t="shared" si="2"/>
        <v>#DIV/0!</v>
      </c>
      <c r="BO364" s="1224">
        <f t="shared" si="2"/>
        <v>0</v>
      </c>
      <c r="BP364" s="1224">
        <f t="shared" si="2"/>
        <v>0</v>
      </c>
      <c r="BQ364" s="1224">
        <f t="shared" si="2"/>
        <v>0</v>
      </c>
      <c r="BR364" s="1224">
        <f t="shared" ref="BR364:CB364" si="3">BR349-BR363</f>
        <v>0</v>
      </c>
      <c r="BS364" s="1224" t="e">
        <f t="shared" si="3"/>
        <v>#DIV/0!</v>
      </c>
      <c r="BT364" s="1224" t="e">
        <f t="shared" si="3"/>
        <v>#DIV/0!</v>
      </c>
      <c r="BU364" s="1224">
        <f t="shared" si="3"/>
        <v>0</v>
      </c>
      <c r="BV364" s="1224">
        <f t="shared" si="3"/>
        <v>0</v>
      </c>
      <c r="BW364" s="1224">
        <f t="shared" si="3"/>
        <v>0</v>
      </c>
      <c r="BX364" s="1224">
        <f t="shared" si="3"/>
        <v>0</v>
      </c>
      <c r="BY364" s="1224" t="e">
        <f t="shared" si="3"/>
        <v>#DIV/0!</v>
      </c>
      <c r="BZ364" s="1224" t="e">
        <f t="shared" si="3"/>
        <v>#DIV/0!</v>
      </c>
      <c r="CA364" s="1224">
        <f t="shared" si="3"/>
        <v>0</v>
      </c>
      <c r="CB364" s="1224" t="e">
        <f t="shared" si="3"/>
        <v>#DIV/0!</v>
      </c>
    </row>
    <row r="365" spans="1:80" x14ac:dyDescent="0.3">
      <c r="A365" s="1226"/>
      <c r="B365" s="1154"/>
      <c r="E365" s="1224"/>
      <c r="F365" s="1224"/>
      <c r="G365" s="1224"/>
      <c r="H365" s="1224"/>
      <c r="I365" s="1224"/>
      <c r="J365" s="1224"/>
      <c r="K365" s="1224"/>
      <c r="L365" s="1224"/>
      <c r="M365" s="1224"/>
      <c r="N365" s="1224"/>
      <c r="O365" s="1224"/>
      <c r="P365" s="1224"/>
      <c r="Q365" s="1224"/>
      <c r="R365" s="1224"/>
      <c r="S365" s="1224"/>
      <c r="T365" s="1224"/>
      <c r="U365" s="1224"/>
      <c r="V365" s="1224"/>
      <c r="W365" s="1224"/>
      <c r="X365" s="1224"/>
      <c r="Y365" s="1224"/>
      <c r="Z365" s="1224"/>
      <c r="AA365" s="1224"/>
      <c r="AB365" s="1224"/>
      <c r="AC365" s="1224"/>
      <c r="AD365" s="1224"/>
      <c r="AE365" s="1224"/>
      <c r="AF365" s="1224"/>
      <c r="AG365" s="1224"/>
      <c r="AH365" s="1224"/>
      <c r="AI365" s="1224"/>
      <c r="AJ365" s="1224"/>
      <c r="AK365" s="1224"/>
      <c r="AL365" s="1224"/>
      <c r="AM365" s="1224"/>
      <c r="AN365" s="1224"/>
      <c r="AO365" s="1224"/>
      <c r="AP365" s="1224"/>
      <c r="AQ365" s="1224"/>
      <c r="AR365" s="1224"/>
      <c r="AS365" s="1224"/>
      <c r="AT365" s="1224"/>
      <c r="AU365" s="1224"/>
      <c r="AV365" s="1224"/>
      <c r="AW365" s="1224"/>
      <c r="AX365" s="1224"/>
      <c r="AY365" s="1224"/>
      <c r="AZ365" s="1224"/>
      <c r="BA365" s="1224"/>
      <c r="BB365" s="1224"/>
      <c r="BC365" s="1224"/>
      <c r="BD365" s="1224"/>
      <c r="BE365" s="1224"/>
      <c r="BF365" s="1224"/>
      <c r="BG365" s="1224"/>
      <c r="BH365" s="1224"/>
      <c r="BI365" s="1224"/>
      <c r="BJ365" s="1224"/>
      <c r="BK365" s="1224"/>
      <c r="BL365" s="1224"/>
      <c r="BM365" s="1224"/>
      <c r="BN365" s="1224"/>
      <c r="BO365" s="1224"/>
      <c r="BP365" s="1224"/>
      <c r="BQ365" s="1224"/>
      <c r="BR365" s="1224"/>
      <c r="BS365" s="1224"/>
      <c r="BT365" s="1224"/>
      <c r="BU365" s="1224"/>
      <c r="BV365" s="1224"/>
      <c r="BW365" s="1224"/>
      <c r="BX365" s="1224"/>
      <c r="BY365" s="1224"/>
      <c r="BZ365" s="1224"/>
      <c r="CA365" s="1224"/>
      <c r="CB365" s="1224"/>
    </row>
    <row r="366" spans="1:80" x14ac:dyDescent="0.3">
      <c r="A366" s="1227"/>
      <c r="B366" s="1154"/>
      <c r="E366" s="1224"/>
      <c r="F366" s="1224"/>
      <c r="G366" s="1224"/>
      <c r="H366" s="1224"/>
      <c r="I366" s="1224"/>
      <c r="J366" s="1224"/>
      <c r="K366" s="1224"/>
      <c r="L366" s="1224"/>
      <c r="M366" s="1224"/>
      <c r="N366" s="1224"/>
      <c r="O366" s="1224"/>
      <c r="P366" s="1224"/>
      <c r="Q366" s="1224"/>
      <c r="R366" s="1224"/>
      <c r="S366" s="1224"/>
      <c r="T366" s="1224"/>
      <c r="U366" s="1224"/>
      <c r="V366" s="1224"/>
      <c r="W366" s="1224"/>
      <c r="X366" s="1224"/>
      <c r="Y366" s="1224"/>
      <c r="Z366" s="1224"/>
      <c r="AA366" s="1224"/>
      <c r="AB366" s="1224"/>
      <c r="AC366" s="1224"/>
      <c r="AD366" s="1224"/>
      <c r="AE366" s="1224"/>
      <c r="AF366" s="1224"/>
      <c r="AG366" s="1224"/>
      <c r="AH366" s="1224"/>
      <c r="AI366" s="1224"/>
      <c r="AJ366" s="1224"/>
      <c r="AK366" s="1224"/>
      <c r="AL366" s="1224"/>
      <c r="AM366" s="1224"/>
      <c r="AN366" s="1224"/>
      <c r="AO366" s="1224"/>
      <c r="AP366" s="1224"/>
      <c r="AQ366" s="1224"/>
      <c r="AR366" s="1224"/>
      <c r="AS366" s="1224"/>
      <c r="AT366" s="1224"/>
      <c r="AU366" s="1224"/>
      <c r="AV366" s="1224"/>
      <c r="AW366" s="1224"/>
      <c r="AX366" s="1224"/>
      <c r="AY366" s="1224"/>
      <c r="AZ366" s="1224"/>
      <c r="BA366" s="1224"/>
      <c r="BB366" s="1224"/>
      <c r="BC366" s="1224"/>
      <c r="BD366" s="1224"/>
      <c r="BE366" s="1224"/>
      <c r="BF366" s="1224"/>
      <c r="BG366" s="1224"/>
      <c r="BH366" s="1224"/>
      <c r="BI366" s="1224"/>
      <c r="BJ366" s="1224"/>
      <c r="BK366" s="1224"/>
      <c r="BL366" s="1224"/>
      <c r="BM366" s="1224"/>
      <c r="BN366" s="1224"/>
      <c r="BO366" s="1224"/>
      <c r="BP366" s="1224"/>
      <c r="BQ366" s="1224"/>
      <c r="BR366" s="1224"/>
      <c r="BS366" s="1224"/>
      <c r="BT366" s="1224"/>
      <c r="BU366" s="1224"/>
      <c r="BV366" s="1224"/>
      <c r="BW366" s="1224"/>
      <c r="BX366" s="1224"/>
      <c r="BY366" s="1224"/>
      <c r="BZ366" s="1224"/>
      <c r="CA366" s="1224"/>
      <c r="CB366" s="1224"/>
    </row>
    <row r="367" spans="1:80" x14ac:dyDescent="0.3">
      <c r="A367" s="1168">
        <v>44</v>
      </c>
      <c r="B367" s="1162">
        <v>44</v>
      </c>
      <c r="C367" s="1163" t="s">
        <v>627</v>
      </c>
      <c r="D367" s="1154" t="s">
        <v>335</v>
      </c>
      <c r="E367" s="1164">
        <v>0</v>
      </c>
      <c r="F367" s="1165">
        <v>0</v>
      </c>
      <c r="G367" s="1165">
        <v>0</v>
      </c>
      <c r="H367" s="1165">
        <v>41172199</v>
      </c>
      <c r="I367" s="1165">
        <v>9144092</v>
      </c>
      <c r="J367" s="1165">
        <v>233009</v>
      </c>
      <c r="K367" s="1165">
        <v>6081317</v>
      </c>
      <c r="L367" s="1166">
        <v>975375</v>
      </c>
      <c r="M367" s="1166">
        <v>6421058</v>
      </c>
      <c r="N367" s="1166">
        <v>0</v>
      </c>
      <c r="O367" s="1166">
        <v>1588638</v>
      </c>
      <c r="P367" s="1166">
        <v>1040321</v>
      </c>
      <c r="Q367" s="1166">
        <v>0</v>
      </c>
      <c r="R367" s="1166">
        <v>8469874</v>
      </c>
      <c r="S367" s="1166">
        <v>8535197</v>
      </c>
      <c r="T367" s="1166">
        <v>8286984</v>
      </c>
      <c r="U367" s="1166">
        <v>0</v>
      </c>
      <c r="V367" s="1166">
        <v>11969180</v>
      </c>
      <c r="W367" s="1166">
        <v>0</v>
      </c>
      <c r="X367" s="1166">
        <v>0</v>
      </c>
      <c r="Y367" s="1166">
        <v>187267</v>
      </c>
      <c r="Z367" s="1166">
        <v>2904262</v>
      </c>
      <c r="AA367" s="1166">
        <v>1323933</v>
      </c>
      <c r="AB367" s="1166">
        <v>638748</v>
      </c>
      <c r="AC367" s="1166">
        <v>0</v>
      </c>
      <c r="AD367" s="1166">
        <v>67699</v>
      </c>
      <c r="AE367" s="1166">
        <v>1641889</v>
      </c>
      <c r="AF367" s="1166">
        <v>1456658</v>
      </c>
      <c r="AG367" s="1166">
        <v>65366</v>
      </c>
      <c r="AH367" s="1166">
        <v>0</v>
      </c>
      <c r="AI367" s="1166">
        <v>0</v>
      </c>
      <c r="AJ367" s="1166">
        <v>913645</v>
      </c>
      <c r="AK367" s="1166">
        <v>7749004</v>
      </c>
      <c r="AL367" s="1166">
        <v>356373</v>
      </c>
      <c r="AM367" s="1166">
        <v>0</v>
      </c>
      <c r="AN367" s="1166">
        <v>19636870</v>
      </c>
      <c r="AO367" s="1166">
        <v>12350388</v>
      </c>
      <c r="AP367" s="1166">
        <v>114797</v>
      </c>
      <c r="AQ367" s="1166">
        <v>0</v>
      </c>
      <c r="AR367" s="1166">
        <v>7163388</v>
      </c>
      <c r="AS367" s="1166">
        <v>1409771</v>
      </c>
      <c r="AT367" s="1166">
        <v>279438</v>
      </c>
      <c r="AU367" s="1166">
        <v>1688550</v>
      </c>
      <c r="AV367" s="1166">
        <v>8677637</v>
      </c>
      <c r="AW367" s="1166">
        <v>1179495</v>
      </c>
      <c r="AX367" s="1166">
        <v>736389</v>
      </c>
      <c r="AY367" s="1166">
        <v>1283976</v>
      </c>
      <c r="AZ367" s="1166">
        <v>1092954</v>
      </c>
      <c r="BA367" s="1166">
        <v>1986791</v>
      </c>
      <c r="BB367" s="1166">
        <v>1587</v>
      </c>
      <c r="BC367" s="1166">
        <v>737849</v>
      </c>
      <c r="BD367" s="1166">
        <v>0</v>
      </c>
      <c r="BE367" s="1166">
        <v>0</v>
      </c>
      <c r="BF367" s="1166">
        <v>5990811</v>
      </c>
      <c r="BG367" s="1166">
        <v>0</v>
      </c>
      <c r="BH367" s="1166">
        <v>0</v>
      </c>
      <c r="BI367" s="1166">
        <v>897778</v>
      </c>
      <c r="BJ367" s="1166">
        <v>2086026</v>
      </c>
      <c r="BK367" s="1166">
        <v>0</v>
      </c>
      <c r="BL367" s="1166">
        <v>5058110</v>
      </c>
      <c r="BM367" s="1166">
        <v>3038809</v>
      </c>
      <c r="BN367" s="1166">
        <v>0</v>
      </c>
      <c r="BO367" s="1166">
        <v>2326675</v>
      </c>
      <c r="BP367" s="1166">
        <v>3769733</v>
      </c>
      <c r="BQ367" s="1166">
        <v>1074608</v>
      </c>
      <c r="BR367" s="1166">
        <v>1890040</v>
      </c>
      <c r="BS367" s="1166">
        <v>0</v>
      </c>
      <c r="BT367" s="1166">
        <v>0</v>
      </c>
      <c r="BU367" s="1166">
        <v>1286428</v>
      </c>
      <c r="BV367" s="1166">
        <v>2231693</v>
      </c>
      <c r="BW367" s="1166">
        <v>283762</v>
      </c>
      <c r="BX367" s="1166">
        <v>1482770</v>
      </c>
      <c r="BY367" s="1166">
        <v>0</v>
      </c>
      <c r="BZ367" s="1166">
        <v>0</v>
      </c>
      <c r="CA367" s="1166">
        <v>8422634</v>
      </c>
      <c r="CB367" s="1166">
        <v>0</v>
      </c>
    </row>
    <row r="368" spans="1:80" x14ac:dyDescent="0.3">
      <c r="A368" s="1168">
        <v>45</v>
      </c>
      <c r="B368" s="1162">
        <v>45</v>
      </c>
      <c r="C368" s="1163" t="s">
        <v>628</v>
      </c>
      <c r="D368" s="1154" t="s">
        <v>336</v>
      </c>
      <c r="E368" s="1164">
        <v>0</v>
      </c>
      <c r="F368" s="1165">
        <v>0</v>
      </c>
      <c r="G368" s="1165">
        <v>0</v>
      </c>
      <c r="H368" s="1165">
        <v>6505172</v>
      </c>
      <c r="I368" s="1165">
        <v>309711</v>
      </c>
      <c r="J368" s="1165">
        <v>27454</v>
      </c>
      <c r="K368" s="1165">
        <v>9405</v>
      </c>
      <c r="L368" s="1166">
        <v>78726</v>
      </c>
      <c r="M368" s="1166">
        <v>4726017</v>
      </c>
      <c r="N368" s="1166">
        <v>0</v>
      </c>
      <c r="O368" s="1166">
        <v>30067</v>
      </c>
      <c r="P368" s="1166">
        <v>36873</v>
      </c>
      <c r="Q368" s="1166">
        <v>0</v>
      </c>
      <c r="R368" s="1166">
        <v>929206</v>
      </c>
      <c r="S368" s="1166">
        <v>1505409</v>
      </c>
      <c r="T368" s="1166">
        <v>1809520</v>
      </c>
      <c r="U368" s="1166">
        <v>0</v>
      </c>
      <c r="V368" s="1166">
        <v>4316073</v>
      </c>
      <c r="W368" s="1166">
        <v>0</v>
      </c>
      <c r="X368" s="1166">
        <v>0</v>
      </c>
      <c r="Y368" s="1166">
        <v>2318</v>
      </c>
      <c r="Z368" s="1166">
        <v>474227</v>
      </c>
      <c r="AA368" s="1166">
        <v>33516</v>
      </c>
      <c r="AB368" s="1166">
        <v>351076</v>
      </c>
      <c r="AC368" s="1166">
        <v>0</v>
      </c>
      <c r="AD368" s="1166">
        <v>18873</v>
      </c>
      <c r="AE368" s="1166">
        <v>112343</v>
      </c>
      <c r="AF368" s="1166">
        <v>754778</v>
      </c>
      <c r="AG368" s="1166">
        <v>7169</v>
      </c>
      <c r="AH368" s="1166">
        <v>0</v>
      </c>
      <c r="AI368" s="1166">
        <v>0</v>
      </c>
      <c r="AJ368" s="1166">
        <v>33417</v>
      </c>
      <c r="AK368" s="1166">
        <v>1095112</v>
      </c>
      <c r="AL368" s="1166">
        <v>21475</v>
      </c>
      <c r="AM368" s="1166">
        <v>0</v>
      </c>
      <c r="AN368" s="1166">
        <v>2503448</v>
      </c>
      <c r="AO368" s="1166">
        <v>2006591</v>
      </c>
      <c r="AP368" s="1166">
        <v>32070</v>
      </c>
      <c r="AQ368" s="1166">
        <v>0</v>
      </c>
      <c r="AR368" s="1166">
        <v>1251662</v>
      </c>
      <c r="AS368" s="1166">
        <v>75471</v>
      </c>
      <c r="AT368" s="1166">
        <v>15192</v>
      </c>
      <c r="AU368" s="1166">
        <v>242482</v>
      </c>
      <c r="AV368" s="1166">
        <v>2797205</v>
      </c>
      <c r="AW368" s="1166">
        <v>33520</v>
      </c>
      <c r="AX368" s="1166">
        <v>55452</v>
      </c>
      <c r="AY368" s="1166">
        <v>61980</v>
      </c>
      <c r="AZ368" s="1166">
        <v>67428</v>
      </c>
      <c r="BA368" s="1166">
        <v>317093</v>
      </c>
      <c r="BB368" s="1166">
        <v>16123</v>
      </c>
      <c r="BC368" s="1166">
        <v>183333</v>
      </c>
      <c r="BD368" s="1166">
        <v>0</v>
      </c>
      <c r="BE368" s="1166">
        <v>0</v>
      </c>
      <c r="BF368" s="1166">
        <v>955523</v>
      </c>
      <c r="BG368" s="1166">
        <v>0</v>
      </c>
      <c r="BH368" s="1166">
        <v>0</v>
      </c>
      <c r="BI368" s="1166">
        <v>359701</v>
      </c>
      <c r="BJ368" s="1166">
        <v>207117</v>
      </c>
      <c r="BK368" s="1166">
        <v>0</v>
      </c>
      <c r="BL368" s="1166">
        <v>165797</v>
      </c>
      <c r="BM368" s="1166">
        <v>183172</v>
      </c>
      <c r="BN368" s="1166">
        <v>0</v>
      </c>
      <c r="BO368" s="1166">
        <v>355807</v>
      </c>
      <c r="BP368" s="1166">
        <v>214816</v>
      </c>
      <c r="BQ368" s="1166">
        <v>20873</v>
      </c>
      <c r="BR368" s="1166">
        <v>735018</v>
      </c>
      <c r="BS368" s="1166">
        <v>0</v>
      </c>
      <c r="BT368" s="1166">
        <v>0</v>
      </c>
      <c r="BU368" s="1166">
        <v>121908</v>
      </c>
      <c r="BV368" s="1166">
        <v>295366</v>
      </c>
      <c r="BW368" s="1166">
        <v>73917</v>
      </c>
      <c r="BX368" s="1166">
        <v>569611</v>
      </c>
      <c r="BY368" s="1166">
        <v>0</v>
      </c>
      <c r="BZ368" s="1166">
        <v>0</v>
      </c>
      <c r="CA368" s="1166">
        <v>1381811</v>
      </c>
      <c r="CB368" s="1166">
        <v>0</v>
      </c>
    </row>
    <row r="369" spans="1:80" ht="28.8" x14ac:dyDescent="0.3">
      <c r="B369" s="1162">
        <v>46</v>
      </c>
      <c r="C369" s="1163" t="s">
        <v>629</v>
      </c>
      <c r="D369" s="1154" t="s">
        <v>337</v>
      </c>
      <c r="E369" s="1164"/>
      <c r="F369" s="1165"/>
      <c r="G369" s="1165"/>
      <c r="H369" s="1165"/>
      <c r="I369" s="1165"/>
      <c r="J369" s="1165"/>
      <c r="K369" s="1165"/>
      <c r="L369" s="1166"/>
      <c r="M369" s="1166"/>
      <c r="N369" s="1166"/>
      <c r="O369" s="1166"/>
      <c r="P369" s="1166"/>
      <c r="Q369" s="1166"/>
      <c r="R369" s="1166"/>
      <c r="S369" s="1166"/>
      <c r="T369" s="1166"/>
      <c r="U369" s="1166"/>
      <c r="V369" s="1166"/>
      <c r="W369" s="1166"/>
      <c r="X369" s="1166"/>
      <c r="Y369" s="1166"/>
      <c r="Z369" s="1166"/>
      <c r="AA369" s="1166"/>
      <c r="AB369" s="1166"/>
      <c r="AC369" s="1166"/>
      <c r="AD369" s="1166"/>
      <c r="AE369" s="1166"/>
      <c r="AF369" s="1166"/>
      <c r="AG369" s="1166"/>
      <c r="AH369" s="1166"/>
      <c r="AI369" s="1166"/>
      <c r="AJ369" s="1166"/>
      <c r="AK369" s="1166"/>
      <c r="AL369" s="1166"/>
      <c r="AM369" s="1166"/>
      <c r="AN369" s="1166"/>
      <c r="AO369" s="1166"/>
      <c r="AP369" s="1166"/>
      <c r="AQ369" s="1166"/>
      <c r="AR369" s="1166"/>
      <c r="AS369" s="1166"/>
      <c r="AT369" s="1166"/>
      <c r="AU369" s="1166"/>
      <c r="AV369" s="1166"/>
      <c r="AW369" s="1166"/>
      <c r="AX369" s="1166"/>
      <c r="AY369" s="1166"/>
      <c r="AZ369" s="1166"/>
      <c r="BA369" s="1166"/>
      <c r="BB369" s="1166"/>
      <c r="BC369" s="1166"/>
      <c r="BD369" s="1166"/>
      <c r="BE369" s="1166"/>
      <c r="BF369" s="1166"/>
      <c r="BG369" s="1166"/>
      <c r="BH369" s="1166"/>
      <c r="BI369" s="1166"/>
      <c r="BJ369" s="1166"/>
      <c r="BK369" s="1166"/>
      <c r="BL369" s="1166"/>
      <c r="BM369" s="1166"/>
      <c r="BN369" s="1166"/>
      <c r="BO369" s="1166"/>
      <c r="BP369" s="1166"/>
      <c r="BQ369" s="1166"/>
      <c r="BR369" s="1166"/>
      <c r="BS369" s="1166"/>
      <c r="BT369" s="1166"/>
      <c r="BU369" s="1166"/>
      <c r="BV369" s="1166"/>
      <c r="BW369" s="1166"/>
      <c r="BX369" s="1166"/>
      <c r="BY369" s="1166"/>
      <c r="BZ369" s="1166"/>
      <c r="CA369" s="1166"/>
      <c r="CB369" s="1166"/>
    </row>
    <row r="370" spans="1:80" x14ac:dyDescent="0.3">
      <c r="A370" s="1161">
        <v>47</v>
      </c>
      <c r="B370" s="1162">
        <v>47</v>
      </c>
      <c r="C370" s="1163" t="s">
        <v>630</v>
      </c>
      <c r="D370" s="1154" t="s">
        <v>338</v>
      </c>
      <c r="E370" s="1164">
        <v>0</v>
      </c>
      <c r="F370" s="1165">
        <v>0</v>
      </c>
      <c r="G370" s="1165">
        <v>0</v>
      </c>
      <c r="H370" s="1165">
        <v>0</v>
      </c>
      <c r="I370" s="1165">
        <v>0</v>
      </c>
      <c r="J370" s="1165">
        <v>0</v>
      </c>
      <c r="K370" s="1165">
        <v>0</v>
      </c>
      <c r="L370" s="1166">
        <v>0</v>
      </c>
      <c r="M370" s="1166">
        <v>0</v>
      </c>
      <c r="N370" s="1166">
        <v>0</v>
      </c>
      <c r="O370" s="1166">
        <v>0</v>
      </c>
      <c r="P370" s="1166">
        <v>0</v>
      </c>
      <c r="Q370" s="1166">
        <v>0</v>
      </c>
      <c r="R370" s="1166">
        <v>0</v>
      </c>
      <c r="S370" s="1166">
        <v>0</v>
      </c>
      <c r="T370" s="1166">
        <v>7727702</v>
      </c>
      <c r="U370" s="1166">
        <v>0</v>
      </c>
      <c r="V370" s="1166">
        <v>31717191</v>
      </c>
      <c r="W370" s="1166">
        <v>0</v>
      </c>
      <c r="X370" s="1166">
        <v>0</v>
      </c>
      <c r="Y370" s="1166">
        <v>0</v>
      </c>
      <c r="Z370" s="1166">
        <v>0</v>
      </c>
      <c r="AA370" s="1166">
        <v>1259742</v>
      </c>
      <c r="AB370" s="1166">
        <v>0</v>
      </c>
      <c r="AC370" s="1166">
        <v>0</v>
      </c>
      <c r="AD370" s="1166">
        <v>0</v>
      </c>
      <c r="AE370" s="1166">
        <v>0</v>
      </c>
      <c r="AF370" s="1166">
        <v>1716457</v>
      </c>
      <c r="AG370" s="1166">
        <v>0</v>
      </c>
      <c r="AH370" s="1166">
        <v>0</v>
      </c>
      <c r="AI370" s="1166">
        <v>0</v>
      </c>
      <c r="AJ370" s="1166">
        <v>0</v>
      </c>
      <c r="AK370" s="1166">
        <v>9389944</v>
      </c>
      <c r="AL370" s="1166">
        <v>0</v>
      </c>
      <c r="AM370" s="1166">
        <v>0</v>
      </c>
      <c r="AN370" s="1166">
        <v>0</v>
      </c>
      <c r="AO370" s="1166">
        <v>0</v>
      </c>
      <c r="AP370" s="1166">
        <v>0</v>
      </c>
      <c r="AQ370" s="1166">
        <v>0</v>
      </c>
      <c r="AR370" s="1166">
        <v>21253857</v>
      </c>
      <c r="AS370" s="1166">
        <v>0</v>
      </c>
      <c r="AT370" s="1166">
        <v>0</v>
      </c>
      <c r="AU370" s="1166">
        <v>0</v>
      </c>
      <c r="AV370" s="1166">
        <v>2680026</v>
      </c>
      <c r="AW370" s="1166">
        <v>0</v>
      </c>
      <c r="AX370" s="1166">
        <v>0</v>
      </c>
      <c r="AY370" s="1166">
        <v>0</v>
      </c>
      <c r="AZ370" s="1166">
        <v>0</v>
      </c>
      <c r="BA370" s="1166">
        <v>2193746</v>
      </c>
      <c r="BB370" s="1166">
        <v>0</v>
      </c>
      <c r="BC370" s="1166">
        <v>0</v>
      </c>
      <c r="BD370" s="1166">
        <v>0</v>
      </c>
      <c r="BE370" s="1166">
        <v>0</v>
      </c>
      <c r="BF370" s="1166">
        <v>13454808</v>
      </c>
      <c r="BG370" s="1166">
        <v>0</v>
      </c>
      <c r="BH370" s="1166">
        <v>0</v>
      </c>
      <c r="BI370" s="1166">
        <v>0</v>
      </c>
      <c r="BJ370" s="1166">
        <v>0</v>
      </c>
      <c r="BK370" s="1166">
        <v>0</v>
      </c>
      <c r="BL370" s="1166">
        <v>3445847</v>
      </c>
      <c r="BM370" s="1166">
        <v>0</v>
      </c>
      <c r="BN370" s="1166">
        <v>0</v>
      </c>
      <c r="BO370" s="1166">
        <v>0</v>
      </c>
      <c r="BP370" s="1166">
        <v>0</v>
      </c>
      <c r="BQ370" s="1166">
        <v>0</v>
      </c>
      <c r="BR370" s="1166">
        <v>0</v>
      </c>
      <c r="BS370" s="1166">
        <v>0</v>
      </c>
      <c r="BT370" s="1166">
        <v>0</v>
      </c>
      <c r="BU370" s="1166">
        <v>0</v>
      </c>
      <c r="BV370" s="1166">
        <v>0</v>
      </c>
      <c r="BW370" s="1166">
        <v>0</v>
      </c>
      <c r="BX370" s="1166">
        <v>0</v>
      </c>
      <c r="BY370" s="1166">
        <v>0</v>
      </c>
      <c r="BZ370" s="1166">
        <v>0</v>
      </c>
      <c r="CA370" s="1166">
        <v>0</v>
      </c>
      <c r="CB370" s="1166">
        <v>0</v>
      </c>
    </row>
    <row r="371" spans="1:80" x14ac:dyDescent="0.3">
      <c r="A371" s="1161">
        <v>48</v>
      </c>
      <c r="B371" s="1162">
        <v>48</v>
      </c>
      <c r="C371" s="1163" t="s">
        <v>123</v>
      </c>
      <c r="D371" s="1154" t="s">
        <v>339</v>
      </c>
      <c r="E371" s="1164">
        <v>0</v>
      </c>
      <c r="F371" s="1165">
        <v>0</v>
      </c>
      <c r="G371" s="1165">
        <v>0</v>
      </c>
      <c r="H371" s="1165">
        <v>0</v>
      </c>
      <c r="I371" s="1165">
        <v>0</v>
      </c>
      <c r="J371" s="1165">
        <v>0</v>
      </c>
      <c r="K371" s="1165">
        <v>0</v>
      </c>
      <c r="L371" s="1166">
        <v>0</v>
      </c>
      <c r="M371" s="1166">
        <v>0</v>
      </c>
      <c r="N371" s="1166">
        <v>0</v>
      </c>
      <c r="O371" s="1166">
        <v>0</v>
      </c>
      <c r="P371" s="1166">
        <v>0</v>
      </c>
      <c r="Q371" s="1166">
        <v>0</v>
      </c>
      <c r="R371" s="1166">
        <v>0</v>
      </c>
      <c r="S371" s="1166">
        <v>0</v>
      </c>
      <c r="T371" s="1166">
        <v>920064</v>
      </c>
      <c r="U371" s="1166">
        <v>0</v>
      </c>
      <c r="V371" s="1166">
        <v>1877002</v>
      </c>
      <c r="W371" s="1166">
        <v>0</v>
      </c>
      <c r="X371" s="1166">
        <v>0</v>
      </c>
      <c r="Y371" s="1166">
        <v>0</v>
      </c>
      <c r="Z371" s="1166">
        <v>0</v>
      </c>
      <c r="AA371" s="1166">
        <v>460826</v>
      </c>
      <c r="AB371" s="1166">
        <v>337875</v>
      </c>
      <c r="AC371" s="1166">
        <v>0</v>
      </c>
      <c r="AD371" s="1166">
        <v>0</v>
      </c>
      <c r="AE371" s="1166">
        <v>0</v>
      </c>
      <c r="AF371" s="1166">
        <v>484390</v>
      </c>
      <c r="AG371" s="1166">
        <v>0</v>
      </c>
      <c r="AH371" s="1166">
        <v>0</v>
      </c>
      <c r="AI371" s="1166">
        <v>0</v>
      </c>
      <c r="AJ371" s="1166">
        <v>0</v>
      </c>
      <c r="AK371" s="1166">
        <v>1892856</v>
      </c>
      <c r="AL371" s="1166">
        <v>0</v>
      </c>
      <c r="AM371" s="1166">
        <v>0</v>
      </c>
      <c r="AN371" s="1166">
        <v>0</v>
      </c>
      <c r="AO371" s="1166">
        <v>0</v>
      </c>
      <c r="AP371" s="1166">
        <v>0</v>
      </c>
      <c r="AQ371" s="1166">
        <v>0</v>
      </c>
      <c r="AR371" s="1166">
        <v>4304823</v>
      </c>
      <c r="AS371" s="1166">
        <v>0</v>
      </c>
      <c r="AT371" s="1166">
        <v>0</v>
      </c>
      <c r="AU371" s="1166">
        <v>0</v>
      </c>
      <c r="AV371" s="1166">
        <v>610058</v>
      </c>
      <c r="AW371" s="1166">
        <v>0</v>
      </c>
      <c r="AX371" s="1166">
        <v>0</v>
      </c>
      <c r="AY371" s="1166">
        <v>0</v>
      </c>
      <c r="AZ371" s="1166">
        <v>0</v>
      </c>
      <c r="BA371" s="1166">
        <v>549719</v>
      </c>
      <c r="BB371" s="1166">
        <v>0</v>
      </c>
      <c r="BC371" s="1166">
        <v>0</v>
      </c>
      <c r="BD371" s="1166">
        <v>0</v>
      </c>
      <c r="BE371" s="1166">
        <v>0</v>
      </c>
      <c r="BF371" s="1166">
        <v>2050350</v>
      </c>
      <c r="BG371" s="1166">
        <v>0</v>
      </c>
      <c r="BH371" s="1166">
        <v>0</v>
      </c>
      <c r="BI371" s="1166">
        <v>0</v>
      </c>
      <c r="BJ371" s="1166">
        <v>0</v>
      </c>
      <c r="BK371" s="1166">
        <v>0</v>
      </c>
      <c r="BL371" s="1166">
        <v>60643</v>
      </c>
      <c r="BM371" s="1166">
        <v>0</v>
      </c>
      <c r="BN371" s="1166">
        <v>0</v>
      </c>
      <c r="BO371" s="1166">
        <v>0</v>
      </c>
      <c r="BP371" s="1166">
        <v>0</v>
      </c>
      <c r="BQ371" s="1166">
        <v>0</v>
      </c>
      <c r="BR371" s="1166">
        <v>0</v>
      </c>
      <c r="BS371" s="1166">
        <v>0</v>
      </c>
      <c r="BT371" s="1166">
        <v>0</v>
      </c>
      <c r="BU371" s="1166">
        <v>0</v>
      </c>
      <c r="BV371" s="1166">
        <v>0</v>
      </c>
      <c r="BW371" s="1166">
        <v>0</v>
      </c>
      <c r="BX371" s="1166">
        <v>0</v>
      </c>
      <c r="BY371" s="1166">
        <v>0</v>
      </c>
      <c r="BZ371" s="1166">
        <v>0</v>
      </c>
      <c r="CA371" s="1166">
        <v>0</v>
      </c>
      <c r="CB371" s="1166">
        <v>0</v>
      </c>
    </row>
    <row r="372" spans="1:80" x14ac:dyDescent="0.3">
      <c r="A372" s="1161">
        <v>336</v>
      </c>
      <c r="B372" s="1162">
        <v>336</v>
      </c>
      <c r="C372" s="1163" t="s">
        <v>637</v>
      </c>
      <c r="D372" s="1154" t="s">
        <v>419</v>
      </c>
      <c r="E372" s="1164">
        <v>80526</v>
      </c>
      <c r="F372" s="1165">
        <v>2529880</v>
      </c>
      <c r="G372" s="1165">
        <v>0</v>
      </c>
      <c r="H372" s="1165">
        <v>6048860</v>
      </c>
      <c r="I372" s="1165">
        <v>514529</v>
      </c>
      <c r="J372" s="1165">
        <v>16448</v>
      </c>
      <c r="K372" s="1165">
        <v>15492</v>
      </c>
      <c r="L372" s="1166">
        <v>65928</v>
      </c>
      <c r="M372" s="1166">
        <v>9762079</v>
      </c>
      <c r="N372" s="1166">
        <v>14422</v>
      </c>
      <c r="O372" s="1166">
        <v>64593</v>
      </c>
      <c r="P372" s="1166">
        <v>117455</v>
      </c>
      <c r="Q372" s="1166">
        <v>4480551</v>
      </c>
      <c r="R372" s="1166">
        <v>3701250</v>
      </c>
      <c r="S372" s="1166">
        <v>373864</v>
      </c>
      <c r="T372" s="1166">
        <v>1637206</v>
      </c>
      <c r="U372" s="1166">
        <v>0</v>
      </c>
      <c r="V372" s="1166">
        <v>4003991</v>
      </c>
      <c r="W372" s="1166">
        <v>362</v>
      </c>
      <c r="X372" s="1166">
        <v>1999800</v>
      </c>
      <c r="Y372" s="1166">
        <v>1790607</v>
      </c>
      <c r="Z372" s="1166">
        <v>831247</v>
      </c>
      <c r="AA372" s="1166">
        <v>120503</v>
      </c>
      <c r="AB372" s="1166">
        <v>492237</v>
      </c>
      <c r="AC372" s="1166">
        <v>25006</v>
      </c>
      <c r="AD372" s="1166">
        <v>65695</v>
      </c>
      <c r="AE372" s="1166">
        <v>67633</v>
      </c>
      <c r="AF372" s="1166">
        <v>601620</v>
      </c>
      <c r="AG372" s="1166">
        <v>5171</v>
      </c>
      <c r="AH372" s="1166">
        <v>1340</v>
      </c>
      <c r="AI372" s="1166">
        <v>444</v>
      </c>
      <c r="AJ372" s="1166">
        <v>35942</v>
      </c>
      <c r="AK372" s="1166">
        <v>524237</v>
      </c>
      <c r="AL372" s="1166">
        <v>34323</v>
      </c>
      <c r="AM372" s="1166">
        <v>0</v>
      </c>
      <c r="AN372" s="1166">
        <v>3242369</v>
      </c>
      <c r="AO372" s="1166">
        <v>227645</v>
      </c>
      <c r="AP372" s="1166">
        <v>2921</v>
      </c>
      <c r="AQ372" s="1166">
        <v>491663</v>
      </c>
      <c r="AR372" s="1166">
        <v>6427568</v>
      </c>
      <c r="AS372" s="1166">
        <v>182454</v>
      </c>
      <c r="AT372" s="1166">
        <v>123818</v>
      </c>
      <c r="AU372" s="1166">
        <v>433420</v>
      </c>
      <c r="AV372" s="1166">
        <v>1412559</v>
      </c>
      <c r="AW372" s="1166">
        <v>48068</v>
      </c>
      <c r="AX372" s="1166">
        <v>33663</v>
      </c>
      <c r="AY372" s="1166">
        <v>227206</v>
      </c>
      <c r="AZ372" s="1166">
        <v>157381</v>
      </c>
      <c r="BA372" s="1166">
        <v>255618</v>
      </c>
      <c r="BB372" s="1166">
        <v>0</v>
      </c>
      <c r="BC372" s="1166">
        <v>90321</v>
      </c>
      <c r="BD372" s="1166">
        <v>0</v>
      </c>
      <c r="BE372" s="1166">
        <v>3368</v>
      </c>
      <c r="BF372" s="1166">
        <v>5222280</v>
      </c>
      <c r="BG372" s="1166">
        <v>0</v>
      </c>
      <c r="BH372" s="1166">
        <v>2267</v>
      </c>
      <c r="BI372" s="1166">
        <v>44854</v>
      </c>
      <c r="BJ372" s="1166">
        <v>79033</v>
      </c>
      <c r="BK372" s="1166">
        <v>0</v>
      </c>
      <c r="BL372" s="1166">
        <v>338491</v>
      </c>
      <c r="BM372" s="1166">
        <v>0</v>
      </c>
      <c r="BN372" s="1166">
        <v>0</v>
      </c>
      <c r="BO372" s="1166">
        <v>1037531</v>
      </c>
      <c r="BP372" s="1166">
        <v>392073</v>
      </c>
      <c r="BQ372" s="1166">
        <v>9392</v>
      </c>
      <c r="BR372" s="1166">
        <v>8180</v>
      </c>
      <c r="BS372" s="1166">
        <v>10927</v>
      </c>
      <c r="BT372" s="1166">
        <v>3756939</v>
      </c>
      <c r="BU372" s="1166">
        <v>119598</v>
      </c>
      <c r="BV372" s="1166">
        <v>71411</v>
      </c>
      <c r="BW372" s="1166">
        <v>56807</v>
      </c>
      <c r="BX372" s="1166">
        <v>11908</v>
      </c>
      <c r="BY372" s="1166">
        <v>0</v>
      </c>
      <c r="BZ372" s="1166">
        <v>0</v>
      </c>
      <c r="CA372" s="1166">
        <v>2804824</v>
      </c>
      <c r="CB372" s="1166">
        <v>2665</v>
      </c>
    </row>
    <row r="373" spans="1:80" ht="28.8" x14ac:dyDescent="0.3">
      <c r="A373" s="1161">
        <v>537</v>
      </c>
      <c r="B373" s="1174">
        <v>537</v>
      </c>
      <c r="C373" s="1175" t="s">
        <v>920</v>
      </c>
      <c r="D373" s="1176" t="s">
        <v>504</v>
      </c>
      <c r="E373" s="1169">
        <v>2</v>
      </c>
      <c r="F373" s="1170">
        <v>2</v>
      </c>
      <c r="G373" s="1170">
        <v>0</v>
      </c>
      <c r="H373" s="1170">
        <v>1</v>
      </c>
      <c r="I373" s="1170">
        <v>1</v>
      </c>
      <c r="J373" s="1170">
        <v>2</v>
      </c>
      <c r="K373" s="1170">
        <v>2</v>
      </c>
      <c r="L373" s="1171">
        <v>2</v>
      </c>
      <c r="M373" s="1171">
        <v>1</v>
      </c>
      <c r="N373" s="1171">
        <v>2</v>
      </c>
      <c r="O373" s="1171">
        <v>2</v>
      </c>
      <c r="P373" s="1171">
        <v>2</v>
      </c>
      <c r="Q373" s="1171">
        <v>2</v>
      </c>
      <c r="R373" s="1171">
        <v>1</v>
      </c>
      <c r="S373" s="1171">
        <v>2</v>
      </c>
      <c r="T373" s="1171">
        <v>2</v>
      </c>
      <c r="U373" s="1171">
        <v>0</v>
      </c>
      <c r="V373" s="1171">
        <v>2</v>
      </c>
      <c r="W373" s="1171">
        <v>2</v>
      </c>
      <c r="X373" s="1171">
        <v>2</v>
      </c>
      <c r="Y373" s="1171">
        <v>1</v>
      </c>
      <c r="Z373" s="1171">
        <v>1</v>
      </c>
      <c r="AA373" s="1171">
        <v>1</v>
      </c>
      <c r="AB373" s="1171">
        <v>2</v>
      </c>
      <c r="AC373" s="1171">
        <v>2</v>
      </c>
      <c r="AD373" s="1171">
        <v>1</v>
      </c>
      <c r="AE373" s="1171">
        <v>2</v>
      </c>
      <c r="AF373" s="1171">
        <v>2</v>
      </c>
      <c r="AG373" s="1171">
        <v>2</v>
      </c>
      <c r="AH373" s="1171">
        <v>2</v>
      </c>
      <c r="AI373" s="1171">
        <v>2</v>
      </c>
      <c r="AJ373" s="1171">
        <v>2</v>
      </c>
      <c r="AK373" s="1171">
        <v>2</v>
      </c>
      <c r="AL373" s="1171">
        <v>1</v>
      </c>
      <c r="AM373" s="1171">
        <v>2</v>
      </c>
      <c r="AN373" s="1171">
        <v>2</v>
      </c>
      <c r="AO373" s="1171">
        <v>1</v>
      </c>
      <c r="AP373" s="1171">
        <v>2</v>
      </c>
      <c r="AQ373" s="1171">
        <v>2</v>
      </c>
      <c r="AR373" s="1171">
        <v>1</v>
      </c>
      <c r="AS373" s="1171">
        <v>2</v>
      </c>
      <c r="AT373" s="1171">
        <v>1</v>
      </c>
      <c r="AU373" s="1171">
        <v>2</v>
      </c>
      <c r="AV373" s="1171">
        <v>2</v>
      </c>
      <c r="AW373" s="1171">
        <v>2</v>
      </c>
      <c r="AX373" s="1171">
        <v>2</v>
      </c>
      <c r="AY373" s="1171">
        <v>2</v>
      </c>
      <c r="AZ373" s="1171">
        <v>1</v>
      </c>
      <c r="BA373" s="1171">
        <v>2</v>
      </c>
      <c r="BB373" s="1171">
        <v>1</v>
      </c>
      <c r="BC373" s="1171">
        <v>1</v>
      </c>
      <c r="BD373" s="1171">
        <v>0</v>
      </c>
      <c r="BE373" s="1171">
        <v>2</v>
      </c>
      <c r="BF373" s="1171">
        <v>1</v>
      </c>
      <c r="BG373" s="1171">
        <v>0</v>
      </c>
      <c r="BH373" s="1171">
        <v>2</v>
      </c>
      <c r="BI373" s="1171">
        <v>2</v>
      </c>
      <c r="BJ373" s="1171">
        <v>2</v>
      </c>
      <c r="BK373" s="1171">
        <v>2</v>
      </c>
      <c r="BL373" s="1171">
        <v>1</v>
      </c>
      <c r="BM373" s="1171">
        <v>2</v>
      </c>
      <c r="BN373" s="1171">
        <v>2</v>
      </c>
      <c r="BO373" s="1171">
        <v>1</v>
      </c>
      <c r="BP373" s="1171">
        <v>1</v>
      </c>
      <c r="BQ373" s="1171">
        <v>1</v>
      </c>
      <c r="BR373" s="1171">
        <v>2</v>
      </c>
      <c r="BS373" s="1171">
        <v>2</v>
      </c>
      <c r="BT373" s="1171">
        <v>2</v>
      </c>
      <c r="BU373" s="1171">
        <v>2</v>
      </c>
      <c r="BV373" s="1171">
        <v>1</v>
      </c>
      <c r="BW373" s="1171">
        <v>2</v>
      </c>
      <c r="BX373" s="1171">
        <v>2</v>
      </c>
      <c r="BY373" s="1171">
        <v>2</v>
      </c>
      <c r="BZ373" s="1171">
        <v>2</v>
      </c>
      <c r="CA373" s="1171">
        <v>2</v>
      </c>
      <c r="CB373" s="1171">
        <v>2</v>
      </c>
    </row>
    <row r="374" spans="1:80" ht="28.8" x14ac:dyDescent="0.3">
      <c r="A374" s="1161">
        <v>538</v>
      </c>
      <c r="B374" s="1174">
        <v>538</v>
      </c>
      <c r="C374" s="1175" t="s">
        <v>921</v>
      </c>
      <c r="D374" s="1176" t="s">
        <v>505</v>
      </c>
      <c r="E374" s="1169">
        <v>2</v>
      </c>
      <c r="F374" s="1170">
        <v>2</v>
      </c>
      <c r="G374" s="1170">
        <v>0</v>
      </c>
      <c r="H374" s="1170">
        <v>1</v>
      </c>
      <c r="I374" s="1170">
        <v>2</v>
      </c>
      <c r="J374" s="1170">
        <v>1</v>
      </c>
      <c r="K374" s="1170">
        <v>2</v>
      </c>
      <c r="L374" s="1171">
        <v>2</v>
      </c>
      <c r="M374" s="1171">
        <v>2</v>
      </c>
      <c r="N374" s="1171">
        <v>2</v>
      </c>
      <c r="O374" s="1171">
        <v>2</v>
      </c>
      <c r="P374" s="1171">
        <v>2</v>
      </c>
      <c r="Q374" s="1171">
        <v>2</v>
      </c>
      <c r="R374" s="1171">
        <v>1</v>
      </c>
      <c r="S374" s="1171">
        <v>2</v>
      </c>
      <c r="T374" s="1171">
        <v>2</v>
      </c>
      <c r="U374" s="1171">
        <v>0</v>
      </c>
      <c r="V374" s="1171">
        <v>1</v>
      </c>
      <c r="W374" s="1171">
        <v>2</v>
      </c>
      <c r="X374" s="1171">
        <v>2</v>
      </c>
      <c r="Y374" s="1171">
        <v>1</v>
      </c>
      <c r="Z374" s="1171">
        <v>1</v>
      </c>
      <c r="AA374" s="1171">
        <v>2</v>
      </c>
      <c r="AB374" s="1171">
        <v>2</v>
      </c>
      <c r="AC374" s="1171">
        <v>2</v>
      </c>
      <c r="AD374" s="1171">
        <v>2</v>
      </c>
      <c r="AE374" s="1171">
        <v>2</v>
      </c>
      <c r="AF374" s="1171">
        <v>2</v>
      </c>
      <c r="AG374" s="1171">
        <v>1</v>
      </c>
      <c r="AH374" s="1171">
        <v>2</v>
      </c>
      <c r="AI374" s="1171">
        <v>2</v>
      </c>
      <c r="AJ374" s="1171">
        <v>1</v>
      </c>
      <c r="AK374" s="1171">
        <v>2</v>
      </c>
      <c r="AL374" s="1171">
        <v>2</v>
      </c>
      <c r="AM374" s="1171">
        <v>2</v>
      </c>
      <c r="AN374" s="1171">
        <v>2</v>
      </c>
      <c r="AO374" s="1171">
        <v>2</v>
      </c>
      <c r="AP374" s="1171">
        <v>2</v>
      </c>
      <c r="AQ374" s="1171">
        <v>2</v>
      </c>
      <c r="AR374" s="1171">
        <v>2</v>
      </c>
      <c r="AS374" s="1171">
        <v>2</v>
      </c>
      <c r="AT374" s="1171">
        <v>1</v>
      </c>
      <c r="AU374" s="1171">
        <v>1</v>
      </c>
      <c r="AV374" s="1171">
        <v>2</v>
      </c>
      <c r="AW374" s="1171">
        <v>2</v>
      </c>
      <c r="AX374" s="1171">
        <v>2</v>
      </c>
      <c r="AY374" s="1171">
        <v>2</v>
      </c>
      <c r="AZ374" s="1171">
        <v>1</v>
      </c>
      <c r="BA374" s="1171">
        <v>2</v>
      </c>
      <c r="BB374" s="1171">
        <v>1</v>
      </c>
      <c r="BC374" s="1171">
        <v>1</v>
      </c>
      <c r="BD374" s="1171">
        <v>0</v>
      </c>
      <c r="BE374" s="1171">
        <v>2</v>
      </c>
      <c r="BF374" s="1171">
        <v>2</v>
      </c>
      <c r="BG374" s="1171">
        <v>0</v>
      </c>
      <c r="BH374" s="1171">
        <v>2</v>
      </c>
      <c r="BI374" s="1171">
        <v>2</v>
      </c>
      <c r="BJ374" s="1171">
        <v>2</v>
      </c>
      <c r="BK374" s="1171">
        <v>2</v>
      </c>
      <c r="BL374" s="1171">
        <v>2</v>
      </c>
      <c r="BM374" s="1171">
        <v>2</v>
      </c>
      <c r="BN374" s="1171">
        <v>2</v>
      </c>
      <c r="BO374" s="1171">
        <v>1</v>
      </c>
      <c r="BP374" s="1171">
        <v>1</v>
      </c>
      <c r="BQ374" s="1171">
        <v>1</v>
      </c>
      <c r="BR374" s="1171">
        <v>2</v>
      </c>
      <c r="BS374" s="1171">
        <v>2</v>
      </c>
      <c r="BT374" s="1171">
        <v>2</v>
      </c>
      <c r="BU374" s="1171">
        <v>2</v>
      </c>
      <c r="BV374" s="1171">
        <v>1</v>
      </c>
      <c r="BW374" s="1171">
        <v>2</v>
      </c>
      <c r="BX374" s="1171">
        <v>2</v>
      </c>
      <c r="BY374" s="1171">
        <v>2</v>
      </c>
      <c r="BZ374" s="1171">
        <v>2</v>
      </c>
      <c r="CA374" s="1171">
        <v>2</v>
      </c>
      <c r="CB374" s="1171">
        <v>2</v>
      </c>
    </row>
    <row r="375" spans="1:80" x14ac:dyDescent="0.3">
      <c r="A375" s="1161">
        <v>577</v>
      </c>
      <c r="B375" s="1184">
        <v>577</v>
      </c>
      <c r="C375" s="1184" t="s">
        <v>645</v>
      </c>
      <c r="D375" s="1184" t="s">
        <v>646</v>
      </c>
      <c r="E375" s="1164">
        <v>2</v>
      </c>
      <c r="F375" s="1165">
        <v>2</v>
      </c>
      <c r="G375" s="1165">
        <v>0</v>
      </c>
      <c r="H375" s="1165">
        <v>0</v>
      </c>
      <c r="I375" s="1165">
        <v>2</v>
      </c>
      <c r="J375" s="1165">
        <v>2</v>
      </c>
      <c r="K375" s="1165">
        <v>2</v>
      </c>
      <c r="L375" s="1166">
        <v>2</v>
      </c>
      <c r="M375" s="1166">
        <v>2</v>
      </c>
      <c r="N375" s="1166">
        <v>0</v>
      </c>
      <c r="O375" s="1166">
        <v>2</v>
      </c>
      <c r="P375" s="1166">
        <v>2</v>
      </c>
      <c r="Q375" s="1166">
        <v>2</v>
      </c>
      <c r="R375" s="1166">
        <v>2</v>
      </c>
      <c r="S375" s="1166">
        <v>2</v>
      </c>
      <c r="T375" s="1166">
        <v>2</v>
      </c>
      <c r="U375" s="1166">
        <v>0</v>
      </c>
      <c r="V375" s="1166">
        <v>2</v>
      </c>
      <c r="W375" s="1166">
        <v>2</v>
      </c>
      <c r="X375" s="1166">
        <v>0</v>
      </c>
      <c r="Y375" s="1166">
        <v>2</v>
      </c>
      <c r="Z375" s="1166">
        <v>1</v>
      </c>
      <c r="AA375" s="1166">
        <v>2</v>
      </c>
      <c r="AB375" s="1166">
        <v>2</v>
      </c>
      <c r="AC375" s="1166">
        <v>0</v>
      </c>
      <c r="AD375" s="1166">
        <v>0</v>
      </c>
      <c r="AE375" s="1166">
        <v>2</v>
      </c>
      <c r="AF375" s="1166">
        <v>2</v>
      </c>
      <c r="AG375" s="1166">
        <v>2</v>
      </c>
      <c r="AH375" s="1166">
        <v>0</v>
      </c>
      <c r="AI375" s="1166">
        <v>2</v>
      </c>
      <c r="AJ375" s="1166">
        <v>2</v>
      </c>
      <c r="AK375" s="1166">
        <v>2</v>
      </c>
      <c r="AL375" s="1166">
        <v>2</v>
      </c>
      <c r="AM375" s="1166">
        <v>2</v>
      </c>
      <c r="AN375" s="1166">
        <v>2</v>
      </c>
      <c r="AO375" s="1166">
        <v>0</v>
      </c>
      <c r="AP375" s="1166">
        <v>0</v>
      </c>
      <c r="AQ375" s="1166">
        <v>2</v>
      </c>
      <c r="AR375" s="1166">
        <v>2</v>
      </c>
      <c r="AS375" s="1166">
        <v>2</v>
      </c>
      <c r="AT375" s="1166">
        <v>2</v>
      </c>
      <c r="AU375" s="1166">
        <v>2</v>
      </c>
      <c r="AV375" s="1166">
        <v>2</v>
      </c>
      <c r="AW375" s="1166">
        <v>2</v>
      </c>
      <c r="AX375" s="1166">
        <v>2</v>
      </c>
      <c r="AY375" s="1166">
        <v>2</v>
      </c>
      <c r="AZ375" s="1166">
        <v>2</v>
      </c>
      <c r="BA375" s="1166">
        <v>0</v>
      </c>
      <c r="BB375" s="1166">
        <v>2</v>
      </c>
      <c r="BC375" s="1166">
        <v>2</v>
      </c>
      <c r="BD375" s="1166">
        <v>0</v>
      </c>
      <c r="BE375" s="1166">
        <v>0</v>
      </c>
      <c r="BF375" s="1166">
        <v>2</v>
      </c>
      <c r="BG375" s="1166">
        <v>0</v>
      </c>
      <c r="BH375" s="1166">
        <v>0</v>
      </c>
      <c r="BI375" s="1166">
        <v>2</v>
      </c>
      <c r="BJ375" s="1166">
        <v>2</v>
      </c>
      <c r="BK375" s="1166">
        <v>2</v>
      </c>
      <c r="BL375" s="1166">
        <v>2</v>
      </c>
      <c r="BM375" s="1166">
        <v>2</v>
      </c>
      <c r="BN375" s="1166">
        <v>0</v>
      </c>
      <c r="BO375" s="1166">
        <v>2</v>
      </c>
      <c r="BP375" s="1166">
        <v>2</v>
      </c>
      <c r="BQ375" s="1166">
        <v>2</v>
      </c>
      <c r="BR375" s="1166">
        <v>2</v>
      </c>
      <c r="BS375" s="1166">
        <v>2</v>
      </c>
      <c r="BT375" s="1166">
        <v>2</v>
      </c>
      <c r="BU375" s="1166">
        <v>2</v>
      </c>
      <c r="BV375" s="1166">
        <v>2</v>
      </c>
      <c r="BW375" s="1166">
        <v>2</v>
      </c>
      <c r="BX375" s="1166">
        <v>2</v>
      </c>
      <c r="BY375" s="1166">
        <v>0</v>
      </c>
      <c r="BZ375" s="1166">
        <v>2</v>
      </c>
      <c r="CA375" s="1166">
        <v>2</v>
      </c>
      <c r="CB375" s="1166">
        <v>0</v>
      </c>
    </row>
    <row r="376" spans="1:80" ht="43.2" x14ac:dyDescent="0.3">
      <c r="A376" s="1152">
        <v>620</v>
      </c>
      <c r="B376" s="1152">
        <v>620</v>
      </c>
      <c r="C376" s="1153" t="s">
        <v>701</v>
      </c>
      <c r="E376" s="1200">
        <v>2</v>
      </c>
      <c r="F376" s="1201">
        <v>2</v>
      </c>
      <c r="G376" s="1201">
        <v>0</v>
      </c>
      <c r="H376" s="1201">
        <v>1</v>
      </c>
      <c r="I376" s="1201">
        <v>2</v>
      </c>
      <c r="J376" s="1201">
        <v>2</v>
      </c>
      <c r="K376" s="1201">
        <v>2</v>
      </c>
      <c r="L376" s="1202">
        <v>2</v>
      </c>
      <c r="M376" s="1202">
        <v>1</v>
      </c>
      <c r="N376" s="1202">
        <v>0</v>
      </c>
      <c r="O376" s="1202">
        <v>2</v>
      </c>
      <c r="P376" s="1202">
        <v>2</v>
      </c>
      <c r="Q376" s="1202">
        <v>2</v>
      </c>
      <c r="R376" s="1202">
        <v>2</v>
      </c>
      <c r="S376" s="1202">
        <v>2</v>
      </c>
      <c r="T376" s="1202">
        <v>1</v>
      </c>
      <c r="U376" s="1202">
        <v>0</v>
      </c>
      <c r="V376" s="1202">
        <v>2</v>
      </c>
      <c r="W376" s="1202">
        <v>2</v>
      </c>
      <c r="X376" s="1202">
        <v>2</v>
      </c>
      <c r="Y376" s="1202">
        <v>2</v>
      </c>
      <c r="Z376" s="1202">
        <v>2</v>
      </c>
      <c r="AA376" s="1202">
        <v>1</v>
      </c>
      <c r="AB376" s="1202">
        <v>2</v>
      </c>
      <c r="AC376" s="1202">
        <v>2</v>
      </c>
      <c r="AD376" s="1202">
        <v>1</v>
      </c>
      <c r="AE376" s="1202">
        <v>2</v>
      </c>
      <c r="AF376" s="1202">
        <v>2</v>
      </c>
      <c r="AG376" s="1202">
        <v>2</v>
      </c>
      <c r="AH376" s="1202">
        <v>2</v>
      </c>
      <c r="AI376" s="1202">
        <v>2</v>
      </c>
      <c r="AJ376" s="1202">
        <v>2</v>
      </c>
      <c r="AK376" s="1202">
        <v>2</v>
      </c>
      <c r="AL376" s="1202">
        <v>2</v>
      </c>
      <c r="AM376" s="1202">
        <v>2</v>
      </c>
      <c r="AN376" s="1202">
        <v>2</v>
      </c>
      <c r="AO376" s="1202">
        <v>2</v>
      </c>
      <c r="AP376" s="1202">
        <v>2</v>
      </c>
      <c r="AQ376" s="1202">
        <v>2</v>
      </c>
      <c r="AR376" s="1202">
        <v>2</v>
      </c>
      <c r="AS376" s="1202">
        <v>2</v>
      </c>
      <c r="AT376" s="1202">
        <v>2</v>
      </c>
      <c r="AU376" s="1202">
        <v>2</v>
      </c>
      <c r="AV376" s="1202">
        <v>2</v>
      </c>
      <c r="AW376" s="1202">
        <v>2</v>
      </c>
      <c r="AX376" s="1202">
        <v>2</v>
      </c>
      <c r="AY376" s="1202">
        <v>2</v>
      </c>
      <c r="AZ376" s="1202">
        <v>2</v>
      </c>
      <c r="BA376" s="1202">
        <v>1</v>
      </c>
      <c r="BB376" s="1202">
        <v>2</v>
      </c>
      <c r="BC376" s="1202">
        <v>2</v>
      </c>
      <c r="BD376" s="1202">
        <v>0</v>
      </c>
      <c r="BE376" s="1202">
        <v>2</v>
      </c>
      <c r="BF376" s="1202">
        <v>2</v>
      </c>
      <c r="BG376" s="1202">
        <v>0</v>
      </c>
      <c r="BH376" s="1202">
        <v>2</v>
      </c>
      <c r="BI376" s="1202">
        <v>2</v>
      </c>
      <c r="BJ376" s="1202">
        <v>2</v>
      </c>
      <c r="BK376" s="1202">
        <v>2</v>
      </c>
      <c r="BL376" s="1202">
        <v>2</v>
      </c>
      <c r="BM376" s="1202">
        <v>2</v>
      </c>
      <c r="BN376" s="1202">
        <v>2</v>
      </c>
      <c r="BO376" s="1202">
        <v>2</v>
      </c>
      <c r="BP376" s="1202">
        <v>2</v>
      </c>
      <c r="BQ376" s="1202">
        <v>2</v>
      </c>
      <c r="BR376" s="1202">
        <v>2</v>
      </c>
      <c r="BS376" s="1202">
        <v>2</v>
      </c>
      <c r="BT376" s="1202">
        <v>2</v>
      </c>
      <c r="BU376" s="1202">
        <v>1</v>
      </c>
      <c r="BV376" s="1202">
        <v>2</v>
      </c>
      <c r="BW376" s="1202">
        <v>2</v>
      </c>
      <c r="BX376" s="1202">
        <v>2</v>
      </c>
      <c r="BY376" s="1202">
        <v>2</v>
      </c>
      <c r="BZ376" s="1202">
        <v>2</v>
      </c>
      <c r="CA376" s="1202">
        <v>1</v>
      </c>
      <c r="CB376" s="1202">
        <v>2</v>
      </c>
    </row>
    <row r="377" spans="1:80" ht="28.8" x14ac:dyDescent="0.3">
      <c r="A377" s="1161">
        <v>545</v>
      </c>
      <c r="B377" s="1174">
        <v>545</v>
      </c>
      <c r="C377" s="1177" t="s">
        <v>54</v>
      </c>
      <c r="D377" s="1176" t="s">
        <v>512</v>
      </c>
      <c r="E377" s="1169">
        <v>0.03</v>
      </c>
      <c r="F377" s="1170">
        <v>0</v>
      </c>
      <c r="G377" s="1170">
        <v>0</v>
      </c>
      <c r="H377" s="1170">
        <v>0</v>
      </c>
      <c r="I377" s="1170">
        <v>0.02</v>
      </c>
      <c r="J377" s="1170">
        <v>0</v>
      </c>
      <c r="K377" s="1170">
        <v>0.01</v>
      </c>
      <c r="L377" s="1171">
        <v>0</v>
      </c>
      <c r="M377" s="1171">
        <v>0</v>
      </c>
      <c r="N377" s="1171">
        <v>0</v>
      </c>
      <c r="O377" s="1171">
        <v>0</v>
      </c>
      <c r="P377" s="1171">
        <v>0</v>
      </c>
      <c r="Q377" s="1171">
        <v>0</v>
      </c>
      <c r="R377" s="1171">
        <v>0</v>
      </c>
      <c r="S377" s="1171">
        <v>0</v>
      </c>
      <c r="T377" s="1171">
        <v>0</v>
      </c>
      <c r="U377" s="1171">
        <v>0</v>
      </c>
      <c r="V377" s="1171">
        <v>0</v>
      </c>
      <c r="W377" s="1171">
        <v>0</v>
      </c>
      <c r="X377" s="1171">
        <v>0</v>
      </c>
      <c r="Y377" s="1171">
        <v>-0.01</v>
      </c>
      <c r="Z377" s="1171">
        <v>0</v>
      </c>
      <c r="AA377" s="1171">
        <v>0</v>
      </c>
      <c r="AB377" s="1171">
        <v>0.06</v>
      </c>
      <c r="AC377" s="1171">
        <v>0</v>
      </c>
      <c r="AD377" s="1171">
        <v>0</v>
      </c>
      <c r="AE377" s="1171">
        <v>0</v>
      </c>
      <c r="AF377" s="1171">
        <v>0</v>
      </c>
      <c r="AG377" s="1171">
        <v>0</v>
      </c>
      <c r="AH377" s="1171">
        <v>0</v>
      </c>
      <c r="AI377" s="1171">
        <v>0</v>
      </c>
      <c r="AJ377" s="1171">
        <v>0</v>
      </c>
      <c r="AK377" s="1171">
        <v>0</v>
      </c>
      <c r="AL377" s="1171">
        <v>0</v>
      </c>
      <c r="AM377" s="1171">
        <v>0</v>
      </c>
      <c r="AN377" s="1171">
        <v>0</v>
      </c>
      <c r="AO377" s="1171">
        <v>0</v>
      </c>
      <c r="AP377" s="1171">
        <v>0</v>
      </c>
      <c r="AQ377" s="1171">
        <v>0</v>
      </c>
      <c r="AR377" s="1171">
        <v>0</v>
      </c>
      <c r="AS377" s="1171">
        <v>0</v>
      </c>
      <c r="AT377" s="1171">
        <v>0</v>
      </c>
      <c r="AU377" s="1171">
        <v>0</v>
      </c>
      <c r="AV377" s="1171">
        <v>0</v>
      </c>
      <c r="AW377" s="1171">
        <v>0</v>
      </c>
      <c r="AX377" s="1171">
        <v>0</v>
      </c>
      <c r="AY377" s="1171">
        <v>0</v>
      </c>
      <c r="AZ377" s="1171">
        <v>0</v>
      </c>
      <c r="BA377" s="1171">
        <v>0</v>
      </c>
      <c r="BB377" s="1171">
        <v>0</v>
      </c>
      <c r="BC377" s="1171">
        <v>0</v>
      </c>
      <c r="BD377" s="1171">
        <v>0</v>
      </c>
      <c r="BE377" s="1171">
        <v>0</v>
      </c>
      <c r="BF377" s="1171">
        <v>0</v>
      </c>
      <c r="BG377" s="1171">
        <v>0</v>
      </c>
      <c r="BH377" s="1171">
        <v>0</v>
      </c>
      <c r="BI377" s="1171">
        <v>0</v>
      </c>
      <c r="BJ377" s="1171">
        <v>0</v>
      </c>
      <c r="BK377" s="1171">
        <v>0</v>
      </c>
      <c r="BL377" s="1171">
        <v>0</v>
      </c>
      <c r="BM377" s="1171">
        <v>0</v>
      </c>
      <c r="BN377" s="1171">
        <v>0</v>
      </c>
      <c r="BO377" s="1171">
        <v>0</v>
      </c>
      <c r="BP377" s="1171">
        <v>0</v>
      </c>
      <c r="BQ377" s="1171">
        <v>0</v>
      </c>
      <c r="BR377" s="1171">
        <v>0</v>
      </c>
      <c r="BS377" s="1171">
        <v>0</v>
      </c>
      <c r="BT377" s="1171">
        <v>0</v>
      </c>
      <c r="BU377" s="1171">
        <v>0</v>
      </c>
      <c r="BV377" s="1171">
        <v>0</v>
      </c>
      <c r="BW377" s="1171">
        <v>0</v>
      </c>
      <c r="BX377" s="1171">
        <v>0</v>
      </c>
      <c r="BY377" s="1171">
        <v>0</v>
      </c>
      <c r="BZ377" s="1171">
        <v>0</v>
      </c>
      <c r="CA377" s="1171">
        <v>0</v>
      </c>
      <c r="CB377" s="1171">
        <v>0</v>
      </c>
    </row>
    <row r="378" spans="1:80" x14ac:dyDescent="0.3">
      <c r="A378" s="1152">
        <v>624</v>
      </c>
      <c r="B378" s="1152">
        <v>624</v>
      </c>
      <c r="C378" s="1153" t="s">
        <v>723</v>
      </c>
      <c r="E378" s="1200">
        <v>2</v>
      </c>
      <c r="F378" s="1201">
        <v>2</v>
      </c>
      <c r="G378" s="1201">
        <v>0</v>
      </c>
      <c r="H378" s="1201">
        <v>1</v>
      </c>
      <c r="I378" s="1201">
        <v>1</v>
      </c>
      <c r="J378" s="1201">
        <v>1</v>
      </c>
      <c r="K378" s="1201">
        <v>2</v>
      </c>
      <c r="L378" s="1202">
        <v>2</v>
      </c>
      <c r="M378" s="1202">
        <v>1</v>
      </c>
      <c r="N378" s="1202">
        <v>0</v>
      </c>
      <c r="O378" s="1202">
        <v>2</v>
      </c>
      <c r="P378" s="1202">
        <v>1</v>
      </c>
      <c r="Q378" s="1202">
        <v>1</v>
      </c>
      <c r="R378" s="1202">
        <v>1</v>
      </c>
      <c r="S378" s="1202">
        <v>1</v>
      </c>
      <c r="T378" s="1202">
        <v>1</v>
      </c>
      <c r="U378" s="1202">
        <v>0</v>
      </c>
      <c r="V378" s="1202">
        <v>1</v>
      </c>
      <c r="W378" s="1202">
        <v>1</v>
      </c>
      <c r="X378" s="1202">
        <v>1</v>
      </c>
      <c r="Y378" s="1202">
        <v>1</v>
      </c>
      <c r="Z378" s="1202">
        <v>1</v>
      </c>
      <c r="AA378" s="1202">
        <v>1</v>
      </c>
      <c r="AB378" s="1202">
        <v>1</v>
      </c>
      <c r="AC378" s="1202">
        <v>1</v>
      </c>
      <c r="AD378" s="1202">
        <v>1</v>
      </c>
      <c r="AE378" s="1202">
        <v>2</v>
      </c>
      <c r="AF378" s="1202">
        <v>1</v>
      </c>
      <c r="AG378" s="1202">
        <v>2</v>
      </c>
      <c r="AH378" s="1202">
        <v>1</v>
      </c>
      <c r="AI378" s="1202">
        <v>1</v>
      </c>
      <c r="AJ378" s="1202">
        <v>1</v>
      </c>
      <c r="AK378" s="1202">
        <v>2</v>
      </c>
      <c r="AL378" s="1202">
        <v>1</v>
      </c>
      <c r="AM378" s="1202">
        <v>2</v>
      </c>
      <c r="AN378" s="1202">
        <v>1</v>
      </c>
      <c r="AO378" s="1202">
        <v>2</v>
      </c>
      <c r="AP378" s="1202">
        <v>0</v>
      </c>
      <c r="AQ378" s="1202">
        <v>1</v>
      </c>
      <c r="AR378" s="1202">
        <v>1</v>
      </c>
      <c r="AS378" s="1202">
        <v>1</v>
      </c>
      <c r="AT378" s="1202">
        <v>1</v>
      </c>
      <c r="AU378" s="1202">
        <v>1</v>
      </c>
      <c r="AV378" s="1202">
        <v>1</v>
      </c>
      <c r="AW378" s="1202">
        <v>1</v>
      </c>
      <c r="AX378" s="1202">
        <v>2</v>
      </c>
      <c r="AY378" s="1202">
        <v>1</v>
      </c>
      <c r="AZ378" s="1202">
        <v>1</v>
      </c>
      <c r="BA378" s="1202">
        <v>1</v>
      </c>
      <c r="BB378" s="1202">
        <v>1</v>
      </c>
      <c r="BC378" s="1202">
        <v>1</v>
      </c>
      <c r="BD378" s="1202">
        <v>0</v>
      </c>
      <c r="BE378" s="1202">
        <v>1</v>
      </c>
      <c r="BF378" s="1202">
        <v>2</v>
      </c>
      <c r="BG378" s="1202">
        <v>0</v>
      </c>
      <c r="BH378" s="1202">
        <v>1</v>
      </c>
      <c r="BI378" s="1202">
        <v>2</v>
      </c>
      <c r="BJ378" s="1202">
        <v>2</v>
      </c>
      <c r="BK378" s="1202">
        <v>1</v>
      </c>
      <c r="BL378" s="1202">
        <v>1</v>
      </c>
      <c r="BM378" s="1202">
        <v>2</v>
      </c>
      <c r="BN378" s="1202">
        <v>2</v>
      </c>
      <c r="BO378" s="1202">
        <v>1</v>
      </c>
      <c r="BP378" s="1202">
        <v>2</v>
      </c>
      <c r="BQ378" s="1202">
        <v>2</v>
      </c>
      <c r="BR378" s="1202">
        <v>1</v>
      </c>
      <c r="BS378" s="1202">
        <v>1</v>
      </c>
      <c r="BT378" s="1202">
        <v>2</v>
      </c>
      <c r="BU378" s="1202">
        <v>2</v>
      </c>
      <c r="BV378" s="1202">
        <v>2</v>
      </c>
      <c r="BW378" s="1202">
        <v>1</v>
      </c>
      <c r="BX378" s="1202">
        <v>1</v>
      </c>
      <c r="BY378" s="1202">
        <v>1</v>
      </c>
      <c r="BZ378" s="1202">
        <v>2</v>
      </c>
      <c r="CA378" s="1202">
        <v>1</v>
      </c>
      <c r="CB378" s="1202">
        <v>2</v>
      </c>
    </row>
    <row r="379" spans="1:80" x14ac:dyDescent="0.3">
      <c r="A379" s="1161">
        <v>995</v>
      </c>
      <c r="B379" s="1185">
        <v>995</v>
      </c>
      <c r="C379" s="1163" t="s">
        <v>519</v>
      </c>
      <c r="D379" s="1154" t="s">
        <v>520</v>
      </c>
      <c r="E379" s="1169">
        <v>0</v>
      </c>
      <c r="F379" s="1170">
        <v>0</v>
      </c>
      <c r="G379" s="1170">
        <v>0</v>
      </c>
      <c r="H379" s="1170">
        <v>0</v>
      </c>
      <c r="I379" s="1170">
        <v>0</v>
      </c>
      <c r="J379" s="1170">
        <v>0</v>
      </c>
      <c r="K379" s="1170">
        <v>0</v>
      </c>
      <c r="L379" s="1171">
        <v>0</v>
      </c>
      <c r="M379" s="1171">
        <v>0</v>
      </c>
      <c r="N379" s="1171">
        <v>0</v>
      </c>
      <c r="O379" s="1171">
        <v>0</v>
      </c>
      <c r="P379" s="1171">
        <v>0</v>
      </c>
      <c r="Q379" s="1171">
        <v>0</v>
      </c>
      <c r="R379" s="1171">
        <v>0</v>
      </c>
      <c r="S379" s="1171">
        <v>0</v>
      </c>
      <c r="T379" s="1171">
        <v>0.09</v>
      </c>
      <c r="U379" s="1171">
        <v>0</v>
      </c>
      <c r="V379" s="1171">
        <v>0.08</v>
      </c>
      <c r="W379" s="1171">
        <v>0</v>
      </c>
      <c r="X379" s="1171">
        <v>0</v>
      </c>
      <c r="Y379" s="1171">
        <v>0</v>
      </c>
      <c r="Z379" s="1171">
        <v>0</v>
      </c>
      <c r="AA379" s="1171">
        <v>0.08</v>
      </c>
      <c r="AB379" s="1171">
        <v>0</v>
      </c>
      <c r="AC379" s="1171">
        <v>0</v>
      </c>
      <c r="AD379" s="1171">
        <v>0</v>
      </c>
      <c r="AE379" s="1171">
        <v>0</v>
      </c>
      <c r="AF379" s="1171">
        <v>7.0000000000000007E-2</v>
      </c>
      <c r="AG379" s="1171">
        <v>0</v>
      </c>
      <c r="AH379" s="1171">
        <v>0</v>
      </c>
      <c r="AI379" s="1171">
        <v>0</v>
      </c>
      <c r="AJ379" s="1171">
        <v>0</v>
      </c>
      <c r="AK379" s="1171">
        <v>0.08</v>
      </c>
      <c r="AL379" s="1171">
        <v>0</v>
      </c>
      <c r="AM379" s="1171">
        <v>0</v>
      </c>
      <c r="AN379" s="1171">
        <v>0</v>
      </c>
      <c r="AO379" s="1171">
        <v>0</v>
      </c>
      <c r="AP379" s="1171">
        <v>0</v>
      </c>
      <c r="AQ379" s="1171">
        <v>0</v>
      </c>
      <c r="AR379" s="1171">
        <v>7.0000000000000007E-2</v>
      </c>
      <c r="AS379" s="1171">
        <v>0</v>
      </c>
      <c r="AT379" s="1171">
        <v>0</v>
      </c>
      <c r="AU379" s="1171">
        <v>0</v>
      </c>
      <c r="AV379" s="1171">
        <v>7.0000000000000007E-2</v>
      </c>
      <c r="AW379" s="1171">
        <v>0</v>
      </c>
      <c r="AX379" s="1171">
        <v>0</v>
      </c>
      <c r="AY379" s="1171">
        <v>0</v>
      </c>
      <c r="AZ379" s="1171">
        <v>0</v>
      </c>
      <c r="BA379" s="1171">
        <v>0.08</v>
      </c>
      <c r="BB379" s="1171">
        <v>0</v>
      </c>
      <c r="BC379" s="1171">
        <v>0</v>
      </c>
      <c r="BD379" s="1171">
        <v>0.09</v>
      </c>
      <c r="BE379" s="1171">
        <v>0</v>
      </c>
      <c r="BF379" s="1171">
        <v>0.08</v>
      </c>
      <c r="BG379" s="1171">
        <v>0.09</v>
      </c>
      <c r="BH379" s="1171">
        <v>0</v>
      </c>
      <c r="BI379" s="1171">
        <v>0</v>
      </c>
      <c r="BJ379" s="1171">
        <v>0</v>
      </c>
      <c r="BK379" s="1171">
        <v>0</v>
      </c>
      <c r="BL379" s="1171">
        <v>7.0000000000000007E-2</v>
      </c>
      <c r="BM379" s="1171">
        <v>0</v>
      </c>
      <c r="BN379" s="1171">
        <v>0</v>
      </c>
      <c r="BO379" s="1171">
        <v>0</v>
      </c>
      <c r="BP379" s="1171">
        <v>0</v>
      </c>
      <c r="BQ379" s="1171">
        <v>0</v>
      </c>
      <c r="BR379" s="1171">
        <v>0</v>
      </c>
      <c r="BS379" s="1171">
        <v>0</v>
      </c>
      <c r="BT379" s="1171">
        <v>0</v>
      </c>
      <c r="BU379" s="1171">
        <v>0</v>
      </c>
      <c r="BV379" s="1171">
        <v>0</v>
      </c>
      <c r="BW379" s="1171">
        <v>0</v>
      </c>
      <c r="BX379" s="1171">
        <v>0</v>
      </c>
      <c r="BY379" s="1171">
        <v>0</v>
      </c>
      <c r="BZ379" s="1171">
        <v>0</v>
      </c>
      <c r="CA379" s="1171">
        <v>0</v>
      </c>
      <c r="CB379" s="1171">
        <v>0</v>
      </c>
    </row>
    <row r="380" spans="1:80" x14ac:dyDescent="0.3">
      <c r="A380" s="1161">
        <v>996</v>
      </c>
      <c r="B380" s="1185">
        <v>996</v>
      </c>
      <c r="C380" s="1163" t="s">
        <v>521</v>
      </c>
      <c r="D380" s="1154" t="s">
        <v>522</v>
      </c>
      <c r="E380" s="1169">
        <v>0</v>
      </c>
      <c r="F380" s="1170">
        <v>0</v>
      </c>
      <c r="G380" s="1170">
        <v>0.01</v>
      </c>
      <c r="H380" s="1170">
        <v>0.01</v>
      </c>
      <c r="I380" s="1170">
        <v>0.01</v>
      </c>
      <c r="J380" s="1170">
        <v>0.01</v>
      </c>
      <c r="K380" s="1170">
        <v>0.01</v>
      </c>
      <c r="L380" s="1171">
        <v>0.01</v>
      </c>
      <c r="M380" s="1171">
        <v>0.01</v>
      </c>
      <c r="N380" s="1171">
        <v>0</v>
      </c>
      <c r="O380" s="1171">
        <v>0.01</v>
      </c>
      <c r="P380" s="1171">
        <v>0.01</v>
      </c>
      <c r="Q380" s="1171">
        <v>0</v>
      </c>
      <c r="R380" s="1171">
        <v>0.01</v>
      </c>
      <c r="S380" s="1171">
        <v>0.01</v>
      </c>
      <c r="T380" s="1171">
        <v>0.01</v>
      </c>
      <c r="U380" s="1171">
        <v>0.01</v>
      </c>
      <c r="V380" s="1171">
        <v>0.01</v>
      </c>
      <c r="W380" s="1171">
        <v>0</v>
      </c>
      <c r="X380" s="1171">
        <v>0</v>
      </c>
      <c r="Y380" s="1171">
        <v>0</v>
      </c>
      <c r="Z380" s="1171">
        <v>0.01</v>
      </c>
      <c r="AA380" s="1171">
        <v>0.01</v>
      </c>
      <c r="AB380" s="1171">
        <v>0.01</v>
      </c>
      <c r="AC380" s="1171">
        <v>0</v>
      </c>
      <c r="AD380" s="1171">
        <v>0.01</v>
      </c>
      <c r="AE380" s="1171">
        <v>0.01</v>
      </c>
      <c r="AF380" s="1171">
        <v>0.01</v>
      </c>
      <c r="AG380" s="1171">
        <v>0.01</v>
      </c>
      <c r="AH380" s="1171">
        <v>0</v>
      </c>
      <c r="AI380" s="1171">
        <v>0</v>
      </c>
      <c r="AJ380" s="1171">
        <v>0.01</v>
      </c>
      <c r="AK380" s="1171">
        <v>0.01</v>
      </c>
      <c r="AL380" s="1171">
        <v>0.01</v>
      </c>
      <c r="AM380" s="1171">
        <v>0</v>
      </c>
      <c r="AN380" s="1171">
        <v>0.01</v>
      </c>
      <c r="AO380" s="1171">
        <v>0.01</v>
      </c>
      <c r="AP380" s="1171">
        <v>0.01</v>
      </c>
      <c r="AQ380" s="1171">
        <v>0</v>
      </c>
      <c r="AR380" s="1171">
        <v>0.01</v>
      </c>
      <c r="AS380" s="1171">
        <v>0.01</v>
      </c>
      <c r="AT380" s="1171">
        <v>0.01</v>
      </c>
      <c r="AU380" s="1171">
        <v>0.01</v>
      </c>
      <c r="AV380" s="1171">
        <v>0.01</v>
      </c>
      <c r="AW380" s="1171">
        <v>0.01</v>
      </c>
      <c r="AX380" s="1171">
        <v>0.01</v>
      </c>
      <c r="AY380" s="1171">
        <v>0.01</v>
      </c>
      <c r="AZ380" s="1171">
        <v>0.01</v>
      </c>
      <c r="BA380" s="1171">
        <v>0.01</v>
      </c>
      <c r="BB380" s="1171">
        <v>0.01</v>
      </c>
      <c r="BC380" s="1171">
        <v>0.01</v>
      </c>
      <c r="BD380" s="1171">
        <v>0.01</v>
      </c>
      <c r="BE380" s="1171">
        <v>0</v>
      </c>
      <c r="BF380" s="1171">
        <v>0.01</v>
      </c>
      <c r="BG380" s="1171">
        <v>0.01</v>
      </c>
      <c r="BH380" s="1171">
        <v>0</v>
      </c>
      <c r="BI380" s="1171">
        <v>0.01</v>
      </c>
      <c r="BJ380" s="1171">
        <v>0.01</v>
      </c>
      <c r="BK380" s="1171">
        <v>0.01</v>
      </c>
      <c r="BL380" s="1171">
        <v>0.01</v>
      </c>
      <c r="BM380" s="1171">
        <v>0.01</v>
      </c>
      <c r="BN380" s="1171">
        <v>0</v>
      </c>
      <c r="BO380" s="1171">
        <v>0.01</v>
      </c>
      <c r="BP380" s="1171">
        <v>0.01</v>
      </c>
      <c r="BQ380" s="1171">
        <v>0.01</v>
      </c>
      <c r="BR380" s="1171">
        <v>0.01</v>
      </c>
      <c r="BS380" s="1171">
        <v>0</v>
      </c>
      <c r="BT380" s="1171">
        <v>0</v>
      </c>
      <c r="BU380" s="1171">
        <v>0.01</v>
      </c>
      <c r="BV380" s="1171">
        <v>0.01</v>
      </c>
      <c r="BW380" s="1171">
        <v>0.01</v>
      </c>
      <c r="BX380" s="1171">
        <v>0.01</v>
      </c>
      <c r="BY380" s="1171">
        <v>0</v>
      </c>
      <c r="BZ380" s="1171">
        <v>0</v>
      </c>
      <c r="CA380" s="1171">
        <v>0.01</v>
      </c>
      <c r="CB380" s="1171">
        <v>0</v>
      </c>
    </row>
    <row r="381" spans="1:80" x14ac:dyDescent="0.3">
      <c r="A381" s="1161">
        <v>998</v>
      </c>
      <c r="B381" s="1162">
        <v>998</v>
      </c>
      <c r="C381" s="1163" t="s">
        <v>292</v>
      </c>
      <c r="D381" s="1154" t="s">
        <v>523</v>
      </c>
      <c r="E381" s="1164">
        <v>50</v>
      </c>
      <c r="F381" s="1165">
        <v>50</v>
      </c>
      <c r="G381" s="1165">
        <v>0</v>
      </c>
      <c r="H381" s="1165">
        <v>50</v>
      </c>
      <c r="I381" s="1165">
        <v>50</v>
      </c>
      <c r="J381" s="1165">
        <v>50</v>
      </c>
      <c r="K381" s="1165">
        <v>50</v>
      </c>
      <c r="L381" s="1166">
        <v>50</v>
      </c>
      <c r="M381" s="1166">
        <v>50</v>
      </c>
      <c r="N381" s="1166">
        <v>50</v>
      </c>
      <c r="O381" s="1166">
        <v>50</v>
      </c>
      <c r="P381" s="1166">
        <v>50</v>
      </c>
      <c r="Q381" s="1166">
        <v>50</v>
      </c>
      <c r="R381" s="1166">
        <v>50</v>
      </c>
      <c r="S381" s="1166">
        <v>50</v>
      </c>
      <c r="T381" s="1166">
        <v>50</v>
      </c>
      <c r="U381" s="1166">
        <v>0</v>
      </c>
      <c r="V381" s="1166">
        <v>50</v>
      </c>
      <c r="W381" s="1166">
        <v>50</v>
      </c>
      <c r="X381" s="1166">
        <v>50</v>
      </c>
      <c r="Y381" s="1166">
        <v>50</v>
      </c>
      <c r="Z381" s="1166">
        <v>50</v>
      </c>
      <c r="AA381" s="1166">
        <v>50</v>
      </c>
      <c r="AB381" s="1166">
        <v>50</v>
      </c>
      <c r="AC381" s="1166">
        <v>50</v>
      </c>
      <c r="AD381" s="1166">
        <v>50</v>
      </c>
      <c r="AE381" s="1166">
        <v>50</v>
      </c>
      <c r="AF381" s="1166">
        <v>50</v>
      </c>
      <c r="AG381" s="1166">
        <v>50</v>
      </c>
      <c r="AH381" s="1166">
        <v>50</v>
      </c>
      <c r="AI381" s="1166">
        <v>50</v>
      </c>
      <c r="AJ381" s="1166">
        <v>50</v>
      </c>
      <c r="AK381" s="1166">
        <v>50</v>
      </c>
      <c r="AL381" s="1166">
        <v>50</v>
      </c>
      <c r="AM381" s="1166">
        <v>50</v>
      </c>
      <c r="AN381" s="1166">
        <v>50</v>
      </c>
      <c r="AO381" s="1166">
        <v>50</v>
      </c>
      <c r="AP381" s="1166">
        <v>50</v>
      </c>
      <c r="AQ381" s="1166">
        <v>50</v>
      </c>
      <c r="AR381" s="1166">
        <v>50</v>
      </c>
      <c r="AS381" s="1166">
        <v>50</v>
      </c>
      <c r="AT381" s="1166">
        <v>50</v>
      </c>
      <c r="AU381" s="1166">
        <v>50</v>
      </c>
      <c r="AV381" s="1166">
        <v>50</v>
      </c>
      <c r="AW381" s="1166">
        <v>50</v>
      </c>
      <c r="AX381" s="1166">
        <v>50</v>
      </c>
      <c r="AY381" s="1166">
        <v>50</v>
      </c>
      <c r="AZ381" s="1166">
        <v>50</v>
      </c>
      <c r="BA381" s="1166">
        <v>50</v>
      </c>
      <c r="BB381" s="1166">
        <v>50</v>
      </c>
      <c r="BC381" s="1166">
        <v>50</v>
      </c>
      <c r="BD381" s="1166">
        <v>0</v>
      </c>
      <c r="BE381" s="1166">
        <v>50</v>
      </c>
      <c r="BF381" s="1166">
        <v>50</v>
      </c>
      <c r="BG381" s="1166">
        <v>0</v>
      </c>
      <c r="BH381" s="1166">
        <v>50</v>
      </c>
      <c r="BI381" s="1166">
        <v>50</v>
      </c>
      <c r="BJ381" s="1166">
        <v>50</v>
      </c>
      <c r="BK381" s="1166">
        <v>50</v>
      </c>
      <c r="BL381" s="1166">
        <v>50</v>
      </c>
      <c r="BM381" s="1166">
        <v>50</v>
      </c>
      <c r="BN381" s="1166">
        <v>50</v>
      </c>
      <c r="BO381" s="1166">
        <v>50</v>
      </c>
      <c r="BP381" s="1166">
        <v>50</v>
      </c>
      <c r="BQ381" s="1166">
        <v>50</v>
      </c>
      <c r="BR381" s="1166">
        <v>50</v>
      </c>
      <c r="BS381" s="1166">
        <v>50</v>
      </c>
      <c r="BT381" s="1166">
        <v>50</v>
      </c>
      <c r="BU381" s="1166">
        <v>0</v>
      </c>
      <c r="BV381" s="1166">
        <v>50</v>
      </c>
      <c r="BW381" s="1166">
        <v>50</v>
      </c>
      <c r="BX381" s="1166">
        <v>50</v>
      </c>
      <c r="BY381" s="1166">
        <v>50</v>
      </c>
      <c r="BZ381" s="1166">
        <v>50</v>
      </c>
      <c r="CA381" s="1166">
        <v>50</v>
      </c>
      <c r="CB381" s="1166">
        <v>50</v>
      </c>
    </row>
    <row r="382" spans="1:80" x14ac:dyDescent="0.3">
      <c r="A382" s="1161">
        <v>999</v>
      </c>
      <c r="B382" s="1187">
        <v>999</v>
      </c>
      <c r="C382" s="1163" t="s">
        <v>293</v>
      </c>
      <c r="D382" s="1154" t="s">
        <v>524</v>
      </c>
      <c r="E382" s="1188">
        <v>50476</v>
      </c>
      <c r="F382" s="1189">
        <v>50191</v>
      </c>
      <c r="G382" s="1189">
        <v>0</v>
      </c>
      <c r="H382" s="1189">
        <v>50193</v>
      </c>
      <c r="I382" s="1189">
        <v>50194</v>
      </c>
      <c r="J382" s="1189">
        <v>50195</v>
      </c>
      <c r="K382" s="1189">
        <v>50196</v>
      </c>
      <c r="L382" s="1160">
        <v>50197</v>
      </c>
      <c r="M382" s="1160">
        <v>50498</v>
      </c>
      <c r="N382" s="1160">
        <v>50198</v>
      </c>
      <c r="O382" s="1160">
        <v>50199</v>
      </c>
      <c r="P382" s="1160">
        <v>50200</v>
      </c>
      <c r="Q382" s="1160">
        <v>50201</v>
      </c>
      <c r="R382" s="1160">
        <v>50202</v>
      </c>
      <c r="S382" s="1160">
        <v>50493</v>
      </c>
      <c r="T382" s="1160">
        <v>50203</v>
      </c>
      <c r="U382" s="1160">
        <v>0</v>
      </c>
      <c r="V382" s="1160">
        <v>50204</v>
      </c>
      <c r="W382" s="1160">
        <v>50205</v>
      </c>
      <c r="X382" s="1160">
        <v>50206</v>
      </c>
      <c r="Y382" s="1160">
        <v>50207</v>
      </c>
      <c r="Z382" s="1160">
        <v>50208</v>
      </c>
      <c r="AA382" s="1160">
        <v>50209</v>
      </c>
      <c r="AB382" s="1160">
        <v>50210</v>
      </c>
      <c r="AC382" s="1160">
        <v>50519</v>
      </c>
      <c r="AD382" s="1160">
        <v>50528</v>
      </c>
      <c r="AE382" s="1160">
        <v>50211</v>
      </c>
      <c r="AF382" s="1160">
        <v>50212</v>
      </c>
      <c r="AG382" s="1160">
        <v>50213</v>
      </c>
      <c r="AH382" s="1160">
        <v>50214</v>
      </c>
      <c r="AI382" s="1160">
        <v>50215</v>
      </c>
      <c r="AJ382" s="1160">
        <v>50216</v>
      </c>
      <c r="AK382" s="1160">
        <v>50217</v>
      </c>
      <c r="AL382" s="1160">
        <v>50218</v>
      </c>
      <c r="AM382" s="1160">
        <v>50477</v>
      </c>
      <c r="AN382" s="1160">
        <v>50520</v>
      </c>
      <c r="AO382" s="1160">
        <v>50219</v>
      </c>
      <c r="AP382" s="1160">
        <v>50220</v>
      </c>
      <c r="AQ382" s="1160">
        <v>50536</v>
      </c>
      <c r="AR382" s="1160">
        <v>50221</v>
      </c>
      <c r="AS382" s="1160">
        <v>50222</v>
      </c>
      <c r="AT382" s="1160">
        <v>50223</v>
      </c>
      <c r="AU382" s="1160">
        <v>50224</v>
      </c>
      <c r="AV382" s="1160">
        <v>50225</v>
      </c>
      <c r="AW382" s="1160">
        <v>50226</v>
      </c>
      <c r="AX382" s="1160">
        <v>50227</v>
      </c>
      <c r="AY382" s="1160">
        <v>50455</v>
      </c>
      <c r="AZ382" s="1160">
        <v>50229</v>
      </c>
      <c r="BA382" s="1160">
        <v>50230</v>
      </c>
      <c r="BB382" s="1160">
        <v>50231</v>
      </c>
      <c r="BC382" s="1160">
        <v>50232</v>
      </c>
      <c r="BD382" s="1160">
        <v>0</v>
      </c>
      <c r="BE382" s="1160">
        <v>50234</v>
      </c>
      <c r="BF382" s="1160">
        <v>50235</v>
      </c>
      <c r="BG382" s="1160">
        <v>0</v>
      </c>
      <c r="BH382" s="1160">
        <v>50237</v>
      </c>
      <c r="BI382" s="1160">
        <v>50238</v>
      </c>
      <c r="BJ382" s="1160">
        <v>50444</v>
      </c>
      <c r="BK382" s="1160">
        <v>50239</v>
      </c>
      <c r="BL382" s="1160">
        <v>50240</v>
      </c>
      <c r="BM382" s="1160">
        <v>50241</v>
      </c>
      <c r="BN382" s="1160">
        <v>50521</v>
      </c>
      <c r="BO382" s="1160">
        <v>50242</v>
      </c>
      <c r="BP382" s="1160">
        <v>50244</v>
      </c>
      <c r="BQ382" s="1160">
        <v>50243</v>
      </c>
      <c r="BR382" s="1160">
        <v>50245</v>
      </c>
      <c r="BS382" s="1160">
        <v>50522</v>
      </c>
      <c r="BT382" s="1160">
        <v>50246</v>
      </c>
      <c r="BU382" s="1160">
        <v>0</v>
      </c>
      <c r="BV382" s="1160">
        <v>50248</v>
      </c>
      <c r="BW382" s="1160">
        <v>50249</v>
      </c>
      <c r="BX382" s="1160">
        <v>50250</v>
      </c>
      <c r="BY382" s="1160">
        <v>50251</v>
      </c>
      <c r="BZ382" s="1160">
        <v>50252</v>
      </c>
      <c r="CA382" s="1160">
        <v>50253</v>
      </c>
      <c r="CB382" s="1160">
        <v>50454</v>
      </c>
    </row>
    <row r="383" spans="1:80" ht="28.2" x14ac:dyDescent="0.3">
      <c r="A383" s="1182">
        <v>554</v>
      </c>
      <c r="B383" s="1174">
        <v>554</v>
      </c>
      <c r="C383" s="1179" t="s">
        <v>1812</v>
      </c>
      <c r="D383" s="1176" t="s">
        <v>579</v>
      </c>
      <c r="E383" s="1164">
        <v>0</v>
      </c>
      <c r="F383" s="1165">
        <v>76546</v>
      </c>
      <c r="G383" s="1165">
        <v>0</v>
      </c>
      <c r="H383" s="1165">
        <v>2452100</v>
      </c>
      <c r="I383" s="1165">
        <v>1967459</v>
      </c>
      <c r="J383" s="1165">
        <v>0</v>
      </c>
      <c r="K383" s="1165">
        <v>0</v>
      </c>
      <c r="L383" s="1166">
        <v>0</v>
      </c>
      <c r="M383" s="1166">
        <v>3664658</v>
      </c>
      <c r="N383" s="1166">
        <v>0</v>
      </c>
      <c r="O383" s="1166">
        <v>0</v>
      </c>
      <c r="P383" s="1166">
        <v>0</v>
      </c>
      <c r="Q383" s="1166">
        <v>104999</v>
      </c>
      <c r="R383" s="1166">
        <v>0</v>
      </c>
      <c r="S383" s="1166">
        <v>0</v>
      </c>
      <c r="T383" s="1166">
        <v>0</v>
      </c>
      <c r="U383" s="1166">
        <v>0</v>
      </c>
      <c r="V383" s="1166">
        <v>4888889</v>
      </c>
      <c r="W383" s="1166">
        <v>0</v>
      </c>
      <c r="X383" s="1166">
        <v>0</v>
      </c>
      <c r="Y383" s="1166">
        <v>182514</v>
      </c>
      <c r="Z383" s="1166">
        <v>0</v>
      </c>
      <c r="AA383" s="1166">
        <v>0</v>
      </c>
      <c r="AB383" s="1166">
        <v>0</v>
      </c>
      <c r="AC383" s="1166">
        <v>0</v>
      </c>
      <c r="AD383" s="1166">
        <v>0</v>
      </c>
      <c r="AE383" s="1166">
        <v>0</v>
      </c>
      <c r="AF383" s="1166">
        <v>0</v>
      </c>
      <c r="AG383" s="1166">
        <v>0</v>
      </c>
      <c r="AH383" s="1166">
        <v>0</v>
      </c>
      <c r="AI383" s="1166">
        <v>0</v>
      </c>
      <c r="AJ383" s="1166">
        <v>0</v>
      </c>
      <c r="AK383" s="1166">
        <v>174907</v>
      </c>
      <c r="AL383" s="1166">
        <v>0</v>
      </c>
      <c r="AM383" s="1166">
        <v>0</v>
      </c>
      <c r="AN383" s="1166">
        <v>129972</v>
      </c>
      <c r="AO383" s="1166">
        <v>4462830</v>
      </c>
      <c r="AP383" s="1166">
        <v>0</v>
      </c>
      <c r="AQ383" s="1166">
        <v>0</v>
      </c>
      <c r="AR383" s="1166">
        <v>471497</v>
      </c>
      <c r="AS383" s="1166">
        <v>0</v>
      </c>
      <c r="AT383" s="1166">
        <v>0</v>
      </c>
      <c r="AU383" s="1166">
        <v>0</v>
      </c>
      <c r="AV383" s="1166">
        <v>940284</v>
      </c>
      <c r="AW383" s="1166">
        <v>0</v>
      </c>
      <c r="AX383" s="1166">
        <v>0</v>
      </c>
      <c r="AY383" s="1166">
        <v>0</v>
      </c>
      <c r="AZ383" s="1166">
        <v>0</v>
      </c>
      <c r="BA383" s="1166">
        <v>0</v>
      </c>
      <c r="BB383" s="1166">
        <v>0</v>
      </c>
      <c r="BC383" s="1166">
        <v>0</v>
      </c>
      <c r="BD383" s="1166">
        <v>0</v>
      </c>
      <c r="BE383" s="1166">
        <v>0</v>
      </c>
      <c r="BF383" s="1166">
        <v>0</v>
      </c>
      <c r="BG383" s="1166">
        <v>0</v>
      </c>
      <c r="BH383" s="1166">
        <v>0</v>
      </c>
      <c r="BI383" s="1166">
        <v>0</v>
      </c>
      <c r="BJ383" s="1166">
        <v>0</v>
      </c>
      <c r="BK383" s="1166">
        <v>0</v>
      </c>
      <c r="BL383" s="1166">
        <v>0</v>
      </c>
      <c r="BM383" s="1166">
        <v>0</v>
      </c>
      <c r="BN383" s="1166">
        <v>0</v>
      </c>
      <c r="BO383" s="1166">
        <v>781525</v>
      </c>
      <c r="BP383" s="1166">
        <v>0</v>
      </c>
      <c r="BQ383" s="1166">
        <v>0</v>
      </c>
      <c r="BR383" s="1166">
        <v>0</v>
      </c>
      <c r="BS383" s="1166">
        <v>0</v>
      </c>
      <c r="BT383" s="1166">
        <v>641260</v>
      </c>
      <c r="BU383" s="1166">
        <v>0</v>
      </c>
      <c r="BV383" s="1166">
        <v>0</v>
      </c>
      <c r="BW383" s="1166">
        <v>1438678</v>
      </c>
      <c r="BX383" s="1166">
        <v>0</v>
      </c>
      <c r="BY383" s="1166">
        <v>0</v>
      </c>
      <c r="BZ383" s="1166">
        <v>0</v>
      </c>
      <c r="CA383" s="1166">
        <v>152518</v>
      </c>
      <c r="CB383" s="1166">
        <v>0</v>
      </c>
    </row>
    <row r="384" spans="1:80" ht="28.2" x14ac:dyDescent="0.3">
      <c r="A384" s="1182">
        <v>555</v>
      </c>
      <c r="B384" s="1174">
        <v>555</v>
      </c>
      <c r="C384" s="1179" t="s">
        <v>1813</v>
      </c>
      <c r="D384" s="1176" t="s">
        <v>581</v>
      </c>
      <c r="E384" s="1164">
        <v>0</v>
      </c>
      <c r="F384" s="1165">
        <v>0</v>
      </c>
      <c r="G384" s="1165">
        <v>0</v>
      </c>
      <c r="H384" s="1165">
        <v>1286148</v>
      </c>
      <c r="I384" s="1165">
        <v>1967459</v>
      </c>
      <c r="J384" s="1165">
        <v>0</v>
      </c>
      <c r="K384" s="1165">
        <v>0</v>
      </c>
      <c r="L384" s="1166">
        <v>0</v>
      </c>
      <c r="M384" s="1166">
        <v>3572015</v>
      </c>
      <c r="N384" s="1166">
        <v>0</v>
      </c>
      <c r="O384" s="1166">
        <v>0</v>
      </c>
      <c r="P384" s="1166">
        <v>0</v>
      </c>
      <c r="Q384" s="1166">
        <v>0</v>
      </c>
      <c r="R384" s="1166">
        <v>0</v>
      </c>
      <c r="S384" s="1166">
        <v>0</v>
      </c>
      <c r="T384" s="1166">
        <v>0</v>
      </c>
      <c r="U384" s="1166">
        <v>0</v>
      </c>
      <c r="V384" s="1166">
        <v>3838372</v>
      </c>
      <c r="W384" s="1166">
        <v>0</v>
      </c>
      <c r="X384" s="1166">
        <v>0</v>
      </c>
      <c r="Y384" s="1166">
        <v>0</v>
      </c>
      <c r="Z384" s="1166">
        <v>0</v>
      </c>
      <c r="AA384" s="1166">
        <v>0</v>
      </c>
      <c r="AB384" s="1166">
        <v>0</v>
      </c>
      <c r="AC384" s="1166">
        <v>0</v>
      </c>
      <c r="AD384" s="1166">
        <v>0</v>
      </c>
      <c r="AE384" s="1166">
        <v>0</v>
      </c>
      <c r="AF384" s="1166">
        <v>0</v>
      </c>
      <c r="AG384" s="1166">
        <v>0</v>
      </c>
      <c r="AH384" s="1166">
        <v>0</v>
      </c>
      <c r="AI384" s="1166">
        <v>0</v>
      </c>
      <c r="AJ384" s="1166">
        <v>0</v>
      </c>
      <c r="AK384" s="1166">
        <v>0</v>
      </c>
      <c r="AL384" s="1166">
        <v>0</v>
      </c>
      <c r="AM384" s="1166">
        <v>0</v>
      </c>
      <c r="AN384" s="1166">
        <v>0</v>
      </c>
      <c r="AO384" s="1166">
        <v>4181201</v>
      </c>
      <c r="AP384" s="1166">
        <v>0</v>
      </c>
      <c r="AQ384" s="1166">
        <v>0</v>
      </c>
      <c r="AR384" s="1166">
        <v>0</v>
      </c>
      <c r="AS384" s="1166">
        <v>0</v>
      </c>
      <c r="AT384" s="1166">
        <v>0</v>
      </c>
      <c r="AU384" s="1166">
        <v>0</v>
      </c>
      <c r="AV384" s="1166">
        <v>830367</v>
      </c>
      <c r="AW384" s="1166">
        <v>0</v>
      </c>
      <c r="AX384" s="1166">
        <v>0</v>
      </c>
      <c r="AY384" s="1166">
        <v>0</v>
      </c>
      <c r="AZ384" s="1166">
        <v>0</v>
      </c>
      <c r="BA384" s="1166">
        <v>0</v>
      </c>
      <c r="BB384" s="1166">
        <v>0</v>
      </c>
      <c r="BC384" s="1166">
        <v>0</v>
      </c>
      <c r="BD384" s="1166">
        <v>0</v>
      </c>
      <c r="BE384" s="1166">
        <v>0</v>
      </c>
      <c r="BF384" s="1166">
        <v>0</v>
      </c>
      <c r="BG384" s="1166">
        <v>0</v>
      </c>
      <c r="BH384" s="1166">
        <v>0</v>
      </c>
      <c r="BI384" s="1166">
        <v>0</v>
      </c>
      <c r="BJ384" s="1166">
        <v>0</v>
      </c>
      <c r="BK384" s="1166">
        <v>0</v>
      </c>
      <c r="BL384" s="1166">
        <v>0</v>
      </c>
      <c r="BM384" s="1166">
        <v>0</v>
      </c>
      <c r="BN384" s="1166">
        <v>0</v>
      </c>
      <c r="BO384" s="1166">
        <v>499643</v>
      </c>
      <c r="BP384" s="1166">
        <v>0</v>
      </c>
      <c r="BQ384" s="1166">
        <v>0</v>
      </c>
      <c r="BR384" s="1166">
        <v>0</v>
      </c>
      <c r="BS384" s="1166">
        <v>0</v>
      </c>
      <c r="BT384" s="1166">
        <v>0</v>
      </c>
      <c r="BU384" s="1166">
        <v>0</v>
      </c>
      <c r="BV384" s="1166">
        <v>0</v>
      </c>
      <c r="BW384" s="1166">
        <v>1371002</v>
      </c>
      <c r="BX384" s="1166">
        <v>0</v>
      </c>
      <c r="BY384" s="1166">
        <v>0</v>
      </c>
      <c r="BZ384" s="1166">
        <v>0</v>
      </c>
      <c r="CA384" s="1166">
        <v>0</v>
      </c>
      <c r="CB384" s="1166">
        <v>0</v>
      </c>
    </row>
    <row r="385" spans="1:80" ht="28.2" x14ac:dyDescent="0.3">
      <c r="A385" s="1182">
        <v>556</v>
      </c>
      <c r="B385" s="1174">
        <v>556</v>
      </c>
      <c r="C385" s="1179" t="s">
        <v>1814</v>
      </c>
      <c r="D385" s="1176" t="s">
        <v>583</v>
      </c>
      <c r="E385" s="1164">
        <v>0</v>
      </c>
      <c r="F385" s="1165">
        <v>1316500</v>
      </c>
      <c r="G385" s="1165">
        <v>0</v>
      </c>
      <c r="H385" s="1165">
        <v>964561</v>
      </c>
      <c r="I385" s="1165">
        <v>45812</v>
      </c>
      <c r="J385" s="1165">
        <v>0</v>
      </c>
      <c r="K385" s="1165">
        <v>0</v>
      </c>
      <c r="L385" s="1166">
        <v>0</v>
      </c>
      <c r="M385" s="1166">
        <v>1082803</v>
      </c>
      <c r="N385" s="1166">
        <v>0</v>
      </c>
      <c r="O385" s="1166">
        <v>0</v>
      </c>
      <c r="P385" s="1166">
        <v>0</v>
      </c>
      <c r="Q385" s="1166">
        <v>748543</v>
      </c>
      <c r="R385" s="1166">
        <v>0</v>
      </c>
      <c r="S385" s="1166">
        <v>0</v>
      </c>
      <c r="T385" s="1166">
        <v>0</v>
      </c>
      <c r="U385" s="1166">
        <v>0</v>
      </c>
      <c r="V385" s="1166">
        <v>662820</v>
      </c>
      <c r="W385" s="1166">
        <v>0</v>
      </c>
      <c r="X385" s="1166">
        <v>0</v>
      </c>
      <c r="Y385" s="1166">
        <v>228507</v>
      </c>
      <c r="Z385" s="1166">
        <v>0</v>
      </c>
      <c r="AA385" s="1166">
        <v>0</v>
      </c>
      <c r="AB385" s="1166">
        <v>0</v>
      </c>
      <c r="AC385" s="1166">
        <v>0</v>
      </c>
      <c r="AD385" s="1166">
        <v>0</v>
      </c>
      <c r="AE385" s="1166">
        <v>0</v>
      </c>
      <c r="AF385" s="1166">
        <v>0</v>
      </c>
      <c r="AG385" s="1166">
        <v>0</v>
      </c>
      <c r="AH385" s="1166">
        <v>0</v>
      </c>
      <c r="AI385" s="1166">
        <v>0</v>
      </c>
      <c r="AJ385" s="1166">
        <v>0</v>
      </c>
      <c r="AK385" s="1166">
        <v>1544249</v>
      </c>
      <c r="AL385" s="1166">
        <v>0</v>
      </c>
      <c r="AM385" s="1166">
        <v>0</v>
      </c>
      <c r="AN385" s="1166">
        <v>592054</v>
      </c>
      <c r="AO385" s="1166">
        <v>1096716</v>
      </c>
      <c r="AP385" s="1166">
        <v>0</v>
      </c>
      <c r="AQ385" s="1166">
        <v>0</v>
      </c>
      <c r="AR385" s="1166">
        <v>745141</v>
      </c>
      <c r="AS385" s="1166">
        <v>0</v>
      </c>
      <c r="AT385" s="1166">
        <v>0</v>
      </c>
      <c r="AU385" s="1166">
        <v>0</v>
      </c>
      <c r="AV385" s="1166">
        <v>385183</v>
      </c>
      <c r="AW385" s="1166">
        <v>0</v>
      </c>
      <c r="AX385" s="1166">
        <v>0</v>
      </c>
      <c r="AY385" s="1166">
        <v>0</v>
      </c>
      <c r="AZ385" s="1166">
        <v>563425</v>
      </c>
      <c r="BA385" s="1166">
        <v>0</v>
      </c>
      <c r="BB385" s="1166">
        <v>0</v>
      </c>
      <c r="BC385" s="1166">
        <v>0</v>
      </c>
      <c r="BD385" s="1166">
        <v>0</v>
      </c>
      <c r="BE385" s="1166">
        <v>0</v>
      </c>
      <c r="BF385" s="1166">
        <v>0</v>
      </c>
      <c r="BG385" s="1166">
        <v>0</v>
      </c>
      <c r="BH385" s="1166">
        <v>0</v>
      </c>
      <c r="BI385" s="1166">
        <v>0</v>
      </c>
      <c r="BJ385" s="1166">
        <v>0</v>
      </c>
      <c r="BK385" s="1166">
        <v>0</v>
      </c>
      <c r="BL385" s="1166">
        <v>0</v>
      </c>
      <c r="BM385" s="1166">
        <v>0</v>
      </c>
      <c r="BN385" s="1166">
        <v>0</v>
      </c>
      <c r="BO385" s="1166">
        <v>274270</v>
      </c>
      <c r="BP385" s="1166">
        <v>0</v>
      </c>
      <c r="BQ385" s="1166">
        <v>0</v>
      </c>
      <c r="BR385" s="1166">
        <v>0</v>
      </c>
      <c r="BS385" s="1166">
        <v>0</v>
      </c>
      <c r="BT385" s="1166">
        <v>939281</v>
      </c>
      <c r="BU385" s="1166">
        <v>0</v>
      </c>
      <c r="BV385" s="1166">
        <v>0</v>
      </c>
      <c r="BW385" s="1166">
        <v>561499</v>
      </c>
      <c r="BX385" s="1166">
        <v>0</v>
      </c>
      <c r="BY385" s="1166">
        <v>0</v>
      </c>
      <c r="BZ385" s="1166">
        <v>0</v>
      </c>
      <c r="CA385" s="1166">
        <v>540334</v>
      </c>
      <c r="CB385" s="1166">
        <v>0</v>
      </c>
    </row>
    <row r="386" spans="1:80" ht="28.2" x14ac:dyDescent="0.3">
      <c r="A386" s="1182">
        <v>557</v>
      </c>
      <c r="B386" s="1174">
        <v>557</v>
      </c>
      <c r="C386" s="1179" t="s">
        <v>1815</v>
      </c>
      <c r="D386" s="1176" t="s">
        <v>585</v>
      </c>
      <c r="E386" s="1164">
        <v>0</v>
      </c>
      <c r="F386" s="1165">
        <v>1304722</v>
      </c>
      <c r="G386" s="1165">
        <v>0</v>
      </c>
      <c r="H386" s="1165">
        <v>731329</v>
      </c>
      <c r="I386" s="1165">
        <v>0</v>
      </c>
      <c r="J386" s="1165">
        <v>0</v>
      </c>
      <c r="K386" s="1165">
        <v>0</v>
      </c>
      <c r="L386" s="1166">
        <v>0</v>
      </c>
      <c r="M386" s="1166">
        <v>1008118</v>
      </c>
      <c r="N386" s="1166">
        <v>0</v>
      </c>
      <c r="O386" s="1166">
        <v>0</v>
      </c>
      <c r="P386" s="1166">
        <v>0</v>
      </c>
      <c r="Q386" s="1166">
        <v>661476</v>
      </c>
      <c r="R386" s="1166">
        <v>0</v>
      </c>
      <c r="S386" s="1166">
        <v>0</v>
      </c>
      <c r="T386" s="1166">
        <v>0</v>
      </c>
      <c r="U386" s="1166">
        <v>0</v>
      </c>
      <c r="V386" s="1166">
        <v>273030</v>
      </c>
      <c r="W386" s="1166">
        <v>0</v>
      </c>
      <c r="X386" s="1166">
        <v>0</v>
      </c>
      <c r="Y386" s="1166">
        <v>0</v>
      </c>
      <c r="Z386" s="1166">
        <v>0</v>
      </c>
      <c r="AA386" s="1166">
        <v>0</v>
      </c>
      <c r="AB386" s="1166">
        <v>0</v>
      </c>
      <c r="AC386" s="1166">
        <v>0</v>
      </c>
      <c r="AD386" s="1166">
        <v>0</v>
      </c>
      <c r="AE386" s="1166">
        <v>0</v>
      </c>
      <c r="AF386" s="1166">
        <v>0</v>
      </c>
      <c r="AG386" s="1166">
        <v>0</v>
      </c>
      <c r="AH386" s="1166">
        <v>0</v>
      </c>
      <c r="AI386" s="1166">
        <v>0</v>
      </c>
      <c r="AJ386" s="1166">
        <v>0</v>
      </c>
      <c r="AK386" s="1166">
        <v>1095578</v>
      </c>
      <c r="AL386" s="1166">
        <v>0</v>
      </c>
      <c r="AM386" s="1166">
        <v>0</v>
      </c>
      <c r="AN386" s="1166">
        <v>550066</v>
      </c>
      <c r="AO386" s="1166">
        <v>500000</v>
      </c>
      <c r="AP386" s="1166">
        <v>0</v>
      </c>
      <c r="AQ386" s="1166">
        <v>0</v>
      </c>
      <c r="AR386" s="1166">
        <v>699447</v>
      </c>
      <c r="AS386" s="1166">
        <v>0</v>
      </c>
      <c r="AT386" s="1166">
        <v>0</v>
      </c>
      <c r="AU386" s="1166">
        <v>0</v>
      </c>
      <c r="AV386" s="1166">
        <v>380189</v>
      </c>
      <c r="AW386" s="1166">
        <v>0</v>
      </c>
      <c r="AX386" s="1166">
        <v>0</v>
      </c>
      <c r="AY386" s="1166">
        <v>0</v>
      </c>
      <c r="AZ386" s="1166">
        <v>244111</v>
      </c>
      <c r="BA386" s="1166">
        <v>0</v>
      </c>
      <c r="BB386" s="1166">
        <v>0</v>
      </c>
      <c r="BC386" s="1166">
        <v>0</v>
      </c>
      <c r="BD386" s="1166">
        <v>0</v>
      </c>
      <c r="BE386" s="1166">
        <v>0</v>
      </c>
      <c r="BF386" s="1166">
        <v>0</v>
      </c>
      <c r="BG386" s="1166">
        <v>0</v>
      </c>
      <c r="BH386" s="1166">
        <v>0</v>
      </c>
      <c r="BI386" s="1166">
        <v>0</v>
      </c>
      <c r="BJ386" s="1166">
        <v>0</v>
      </c>
      <c r="BK386" s="1166">
        <v>0</v>
      </c>
      <c r="BL386" s="1166">
        <v>0</v>
      </c>
      <c r="BM386" s="1166">
        <v>0</v>
      </c>
      <c r="BN386" s="1166">
        <v>0</v>
      </c>
      <c r="BO386" s="1166">
        <v>0</v>
      </c>
      <c r="BP386" s="1166">
        <v>0</v>
      </c>
      <c r="BQ386" s="1166">
        <v>0</v>
      </c>
      <c r="BR386" s="1166">
        <v>0</v>
      </c>
      <c r="BS386" s="1166">
        <v>0</v>
      </c>
      <c r="BT386" s="1166">
        <v>890616</v>
      </c>
      <c r="BU386" s="1166">
        <v>0</v>
      </c>
      <c r="BV386" s="1166">
        <v>0</v>
      </c>
      <c r="BW386" s="1166">
        <v>450000</v>
      </c>
      <c r="BX386" s="1166">
        <v>0</v>
      </c>
      <c r="BY386" s="1166">
        <v>0</v>
      </c>
      <c r="BZ386" s="1166">
        <v>0</v>
      </c>
      <c r="CA386" s="1166">
        <v>360334</v>
      </c>
      <c r="CB386" s="1166">
        <v>0</v>
      </c>
    </row>
    <row r="387" spans="1:80" ht="28.8" x14ac:dyDescent="0.3">
      <c r="A387" s="1152">
        <v>606</v>
      </c>
      <c r="B387" s="1152">
        <v>606</v>
      </c>
      <c r="C387" s="1199" t="s">
        <v>715</v>
      </c>
      <c r="E387" s="1188">
        <v>0</v>
      </c>
      <c r="F387" s="1189">
        <v>1</v>
      </c>
      <c r="G387" s="1189">
        <v>0</v>
      </c>
      <c r="H387" s="1189">
        <v>1</v>
      </c>
      <c r="I387" s="1189">
        <v>1</v>
      </c>
      <c r="J387" s="1189">
        <v>0</v>
      </c>
      <c r="K387" s="1189">
        <v>0</v>
      </c>
      <c r="L387" s="1160">
        <v>0</v>
      </c>
      <c r="M387" s="1160">
        <v>1</v>
      </c>
      <c r="N387" s="1160">
        <v>0</v>
      </c>
      <c r="O387" s="1160">
        <v>0</v>
      </c>
      <c r="P387" s="1160">
        <v>0</v>
      </c>
      <c r="Q387" s="1160">
        <v>1</v>
      </c>
      <c r="R387" s="1160">
        <v>0</v>
      </c>
      <c r="S387" s="1160">
        <v>0</v>
      </c>
      <c r="T387" s="1160">
        <v>0</v>
      </c>
      <c r="U387" s="1160">
        <v>0</v>
      </c>
      <c r="V387" s="1160">
        <v>1</v>
      </c>
      <c r="W387" s="1160">
        <v>0</v>
      </c>
      <c r="X387" s="1160">
        <v>0</v>
      </c>
      <c r="Y387" s="1160">
        <v>1</v>
      </c>
      <c r="Z387" s="1160">
        <v>0</v>
      </c>
      <c r="AA387" s="1160">
        <v>0</v>
      </c>
      <c r="AB387" s="1160">
        <v>0</v>
      </c>
      <c r="AC387" s="1160">
        <v>0</v>
      </c>
      <c r="AD387" s="1160">
        <v>0</v>
      </c>
      <c r="AE387" s="1160">
        <v>0</v>
      </c>
      <c r="AF387" s="1160">
        <v>0</v>
      </c>
      <c r="AG387" s="1160">
        <v>0</v>
      </c>
      <c r="AH387" s="1160">
        <v>0</v>
      </c>
      <c r="AI387" s="1160">
        <v>0</v>
      </c>
      <c r="AJ387" s="1160">
        <v>0</v>
      </c>
      <c r="AK387" s="1160">
        <v>1</v>
      </c>
      <c r="AL387" s="1160">
        <v>0</v>
      </c>
      <c r="AM387" s="1160">
        <v>0</v>
      </c>
      <c r="AN387" s="1160">
        <v>1</v>
      </c>
      <c r="AO387" s="1160">
        <v>1</v>
      </c>
      <c r="AP387" s="1160">
        <v>0</v>
      </c>
      <c r="AQ387" s="1160">
        <v>0</v>
      </c>
      <c r="AR387" s="1160">
        <v>1</v>
      </c>
      <c r="AS387" s="1160">
        <v>0</v>
      </c>
      <c r="AT387" s="1160">
        <v>0</v>
      </c>
      <c r="AU387" s="1160">
        <v>0</v>
      </c>
      <c r="AV387" s="1160">
        <v>1</v>
      </c>
      <c r="AW387" s="1160">
        <v>0</v>
      </c>
      <c r="AX387" s="1160">
        <v>0</v>
      </c>
      <c r="AY387" s="1160">
        <v>0</v>
      </c>
      <c r="AZ387" s="1160">
        <v>1</v>
      </c>
      <c r="BA387" s="1160">
        <v>0</v>
      </c>
      <c r="BB387" s="1160">
        <v>0</v>
      </c>
      <c r="BC387" s="1160">
        <v>0</v>
      </c>
      <c r="BD387" s="1160">
        <v>0</v>
      </c>
      <c r="BE387" s="1160">
        <v>0</v>
      </c>
      <c r="BF387" s="1160">
        <v>0</v>
      </c>
      <c r="BG387" s="1160">
        <v>0</v>
      </c>
      <c r="BH387" s="1160">
        <v>0</v>
      </c>
      <c r="BI387" s="1160">
        <v>0</v>
      </c>
      <c r="BJ387" s="1160">
        <v>0</v>
      </c>
      <c r="BK387" s="1160">
        <v>0</v>
      </c>
      <c r="BL387" s="1160">
        <v>0</v>
      </c>
      <c r="BM387" s="1160">
        <v>0</v>
      </c>
      <c r="BN387" s="1160">
        <v>0</v>
      </c>
      <c r="BO387" s="1160">
        <v>1</v>
      </c>
      <c r="BP387" s="1160">
        <v>0</v>
      </c>
      <c r="BQ387" s="1160">
        <v>0</v>
      </c>
      <c r="BR387" s="1160">
        <v>0</v>
      </c>
      <c r="BS387" s="1160">
        <v>0</v>
      </c>
      <c r="BT387" s="1160">
        <v>1</v>
      </c>
      <c r="BU387" s="1160">
        <v>0</v>
      </c>
      <c r="BV387" s="1160">
        <v>0</v>
      </c>
      <c r="BW387" s="1160">
        <v>1</v>
      </c>
      <c r="BX387" s="1160">
        <v>0</v>
      </c>
      <c r="BY387" s="1160">
        <v>0</v>
      </c>
      <c r="BZ387" s="1160">
        <v>0</v>
      </c>
      <c r="CA387" s="1160">
        <v>1</v>
      </c>
      <c r="CB387" s="1160">
        <v>0</v>
      </c>
    </row>
    <row r="388" spans="1:80" ht="28.8" x14ac:dyDescent="0.3">
      <c r="A388" s="1152">
        <v>662</v>
      </c>
      <c r="B388" s="1152">
        <v>662</v>
      </c>
      <c r="C388" s="1205" t="s">
        <v>941</v>
      </c>
      <c r="D388" s="1153"/>
      <c r="E388" s="1200">
        <v>0</v>
      </c>
      <c r="F388" s="1201">
        <v>0</v>
      </c>
      <c r="G388" s="1201">
        <v>0</v>
      </c>
      <c r="H388" s="1201">
        <v>0</v>
      </c>
      <c r="I388" s="1201">
        <v>0</v>
      </c>
      <c r="J388" s="1201">
        <v>0</v>
      </c>
      <c r="K388" s="1201">
        <v>0</v>
      </c>
      <c r="L388" s="1202">
        <v>0</v>
      </c>
      <c r="M388" s="1202">
        <v>0</v>
      </c>
      <c r="N388" s="1202">
        <v>0</v>
      </c>
      <c r="O388" s="1202">
        <v>0</v>
      </c>
      <c r="P388" s="1202">
        <v>0</v>
      </c>
      <c r="Q388" s="1202">
        <v>0</v>
      </c>
      <c r="R388" s="1202">
        <v>0</v>
      </c>
      <c r="S388" s="1202">
        <v>0</v>
      </c>
      <c r="T388" s="1202">
        <v>0</v>
      </c>
      <c r="U388" s="1202">
        <v>0</v>
      </c>
      <c r="V388" s="1202">
        <v>0</v>
      </c>
      <c r="W388" s="1202">
        <v>0</v>
      </c>
      <c r="X388" s="1202">
        <v>0</v>
      </c>
      <c r="Y388" s="1202">
        <v>12515</v>
      </c>
      <c r="Z388" s="1202">
        <v>0</v>
      </c>
      <c r="AA388" s="1202">
        <v>0</v>
      </c>
      <c r="AB388" s="1202">
        <v>0</v>
      </c>
      <c r="AC388" s="1202">
        <v>0</v>
      </c>
      <c r="AD388" s="1202">
        <v>0</v>
      </c>
      <c r="AE388" s="1202">
        <v>0</v>
      </c>
      <c r="AF388" s="1202">
        <v>0</v>
      </c>
      <c r="AG388" s="1202">
        <v>0</v>
      </c>
      <c r="AH388" s="1202">
        <v>0</v>
      </c>
      <c r="AI388" s="1202">
        <v>0</v>
      </c>
      <c r="AJ388" s="1202">
        <v>0</v>
      </c>
      <c r="AK388" s="1202">
        <v>0</v>
      </c>
      <c r="AL388" s="1202">
        <v>0</v>
      </c>
      <c r="AM388" s="1202">
        <v>0</v>
      </c>
      <c r="AN388" s="1202">
        <v>0</v>
      </c>
      <c r="AO388" s="1202">
        <v>18058</v>
      </c>
      <c r="AP388" s="1202">
        <v>0</v>
      </c>
      <c r="AQ388" s="1202">
        <v>0</v>
      </c>
      <c r="AR388" s="1202">
        <v>90388</v>
      </c>
      <c r="AS388" s="1202">
        <v>0</v>
      </c>
      <c r="AT388" s="1202">
        <v>0</v>
      </c>
      <c r="AU388" s="1202">
        <v>0</v>
      </c>
      <c r="AV388" s="1202">
        <v>830367</v>
      </c>
      <c r="AW388" s="1202">
        <v>0</v>
      </c>
      <c r="AX388" s="1202">
        <v>0</v>
      </c>
      <c r="AY388" s="1202">
        <v>0</v>
      </c>
      <c r="AZ388" s="1202">
        <v>0</v>
      </c>
      <c r="BA388" s="1202">
        <v>0</v>
      </c>
      <c r="BB388" s="1202">
        <v>0</v>
      </c>
      <c r="BC388" s="1202">
        <v>0</v>
      </c>
      <c r="BD388" s="1202">
        <v>0</v>
      </c>
      <c r="BE388" s="1202">
        <v>0</v>
      </c>
      <c r="BF388" s="1202">
        <v>0</v>
      </c>
      <c r="BG388" s="1202">
        <v>0</v>
      </c>
      <c r="BH388" s="1202">
        <v>0</v>
      </c>
      <c r="BI388" s="1202">
        <v>0</v>
      </c>
      <c r="BJ388" s="1202">
        <v>0</v>
      </c>
      <c r="BK388" s="1202">
        <v>0</v>
      </c>
      <c r="BL388" s="1202">
        <v>0</v>
      </c>
      <c r="BM388" s="1202">
        <v>0</v>
      </c>
      <c r="BN388" s="1202">
        <v>0</v>
      </c>
      <c r="BO388" s="1202">
        <v>0</v>
      </c>
      <c r="BP388" s="1202">
        <v>0</v>
      </c>
      <c r="BQ388" s="1202">
        <v>0</v>
      </c>
      <c r="BR388" s="1202">
        <v>0</v>
      </c>
      <c r="BS388" s="1202">
        <v>0</v>
      </c>
      <c r="BT388" s="1202">
        <v>184000</v>
      </c>
      <c r="BU388" s="1202">
        <v>0</v>
      </c>
      <c r="BV388" s="1202">
        <v>0</v>
      </c>
      <c r="BW388" s="1202">
        <v>0</v>
      </c>
      <c r="BX388" s="1202">
        <v>0</v>
      </c>
      <c r="BY388" s="1202">
        <v>0</v>
      </c>
      <c r="BZ388" s="1202">
        <v>0</v>
      </c>
      <c r="CA388" s="1202">
        <v>54610</v>
      </c>
      <c r="CB388" s="1202">
        <v>0</v>
      </c>
    </row>
    <row r="389" spans="1:80" x14ac:dyDescent="0.3">
      <c r="A389" s="1152">
        <v>663</v>
      </c>
      <c r="B389" s="1152">
        <v>663</v>
      </c>
      <c r="C389" s="1205" t="s">
        <v>942</v>
      </c>
      <c r="D389" s="1153"/>
      <c r="E389" s="1200">
        <v>0</v>
      </c>
      <c r="F389" s="1201">
        <v>0</v>
      </c>
      <c r="G389" s="1201">
        <v>0</v>
      </c>
      <c r="H389" s="1201">
        <v>0</v>
      </c>
      <c r="I389" s="1201">
        <v>0</v>
      </c>
      <c r="J389" s="1201">
        <v>0</v>
      </c>
      <c r="K389" s="1201">
        <v>0</v>
      </c>
      <c r="L389" s="1202">
        <v>0</v>
      </c>
      <c r="M389" s="1202">
        <v>0</v>
      </c>
      <c r="N389" s="1202">
        <v>0</v>
      </c>
      <c r="O389" s="1202">
        <v>0</v>
      </c>
      <c r="P389" s="1202">
        <v>0</v>
      </c>
      <c r="Q389" s="1202">
        <v>0</v>
      </c>
      <c r="R389" s="1202">
        <v>0</v>
      </c>
      <c r="S389" s="1202">
        <v>0</v>
      </c>
      <c r="T389" s="1202">
        <v>0</v>
      </c>
      <c r="U389" s="1202">
        <v>0</v>
      </c>
      <c r="V389" s="1202">
        <v>0</v>
      </c>
      <c r="W389" s="1202">
        <v>0</v>
      </c>
      <c r="X389" s="1202">
        <v>0</v>
      </c>
      <c r="Y389" s="1202">
        <v>0</v>
      </c>
      <c r="Z389" s="1202">
        <v>0</v>
      </c>
      <c r="AA389" s="1202">
        <v>0</v>
      </c>
      <c r="AB389" s="1202">
        <v>0</v>
      </c>
      <c r="AC389" s="1202">
        <v>0</v>
      </c>
      <c r="AD389" s="1202">
        <v>0</v>
      </c>
      <c r="AE389" s="1202">
        <v>0</v>
      </c>
      <c r="AF389" s="1202">
        <v>0</v>
      </c>
      <c r="AG389" s="1202">
        <v>0</v>
      </c>
      <c r="AH389" s="1202">
        <v>0</v>
      </c>
      <c r="AI389" s="1202">
        <v>0</v>
      </c>
      <c r="AJ389" s="1202">
        <v>0</v>
      </c>
      <c r="AK389" s="1202">
        <v>0</v>
      </c>
      <c r="AL389" s="1202">
        <v>0</v>
      </c>
      <c r="AM389" s="1202">
        <v>0</v>
      </c>
      <c r="AN389" s="1202">
        <v>0</v>
      </c>
      <c r="AO389" s="1202">
        <v>0</v>
      </c>
      <c r="AP389" s="1202">
        <v>0</v>
      </c>
      <c r="AQ389" s="1202">
        <v>0</v>
      </c>
      <c r="AR389" s="1202">
        <v>0</v>
      </c>
      <c r="AS389" s="1202">
        <v>0</v>
      </c>
      <c r="AT389" s="1202">
        <v>0</v>
      </c>
      <c r="AU389" s="1202">
        <v>0</v>
      </c>
      <c r="AV389" s="1202">
        <v>0</v>
      </c>
      <c r="AW389" s="1202">
        <v>0</v>
      </c>
      <c r="AX389" s="1202">
        <v>0</v>
      </c>
      <c r="AY389" s="1202">
        <v>0</v>
      </c>
      <c r="AZ389" s="1202">
        <v>0</v>
      </c>
      <c r="BA389" s="1202">
        <v>0</v>
      </c>
      <c r="BB389" s="1202">
        <v>0</v>
      </c>
      <c r="BC389" s="1202">
        <v>0</v>
      </c>
      <c r="BD389" s="1202">
        <v>0</v>
      </c>
      <c r="BE389" s="1202">
        <v>0</v>
      </c>
      <c r="BF389" s="1202">
        <v>0</v>
      </c>
      <c r="BG389" s="1202">
        <v>0</v>
      </c>
      <c r="BH389" s="1202">
        <v>0</v>
      </c>
      <c r="BI389" s="1202">
        <v>0</v>
      </c>
      <c r="BJ389" s="1202">
        <v>0</v>
      </c>
      <c r="BK389" s="1202">
        <v>0</v>
      </c>
      <c r="BL389" s="1202">
        <v>0</v>
      </c>
      <c r="BM389" s="1202">
        <v>0</v>
      </c>
      <c r="BN389" s="1202">
        <v>0</v>
      </c>
      <c r="BO389" s="1202">
        <v>0</v>
      </c>
      <c r="BP389" s="1202">
        <v>0</v>
      </c>
      <c r="BQ389" s="1202">
        <v>0</v>
      </c>
      <c r="BR389" s="1202">
        <v>0</v>
      </c>
      <c r="BS389" s="1202">
        <v>0</v>
      </c>
      <c r="BT389" s="1202">
        <v>0</v>
      </c>
      <c r="BU389" s="1202">
        <v>0</v>
      </c>
      <c r="BV389" s="1202">
        <v>0</v>
      </c>
      <c r="BW389" s="1202">
        <v>0</v>
      </c>
      <c r="BX389" s="1202">
        <v>0</v>
      </c>
      <c r="BY389" s="1202">
        <v>0</v>
      </c>
      <c r="BZ389" s="1202">
        <v>0</v>
      </c>
      <c r="CA389" s="1202">
        <v>0</v>
      </c>
      <c r="CB389" s="1202">
        <v>0</v>
      </c>
    </row>
    <row r="390" spans="1:80" x14ac:dyDescent="0.3">
      <c r="A390" s="1152">
        <v>906</v>
      </c>
      <c r="B390" s="1152" t="s">
        <v>1801</v>
      </c>
      <c r="C390" s="1205" t="s">
        <v>994</v>
      </c>
      <c r="D390" s="1153"/>
      <c r="E390" s="1200">
        <v>1</v>
      </c>
      <c r="F390" s="1201">
        <v>1</v>
      </c>
      <c r="G390" s="1201">
        <v>0</v>
      </c>
      <c r="H390" s="1201">
        <v>1</v>
      </c>
      <c r="I390" s="1201">
        <v>1</v>
      </c>
      <c r="J390" s="1201">
        <v>1</v>
      </c>
      <c r="K390" s="1201">
        <v>1</v>
      </c>
      <c r="L390" s="1202">
        <v>1</v>
      </c>
      <c r="M390" s="1202">
        <v>1</v>
      </c>
      <c r="N390" s="1202">
        <v>1</v>
      </c>
      <c r="O390" s="1202">
        <v>1</v>
      </c>
      <c r="P390" s="1202">
        <v>1</v>
      </c>
      <c r="Q390" s="1202">
        <v>1</v>
      </c>
      <c r="R390" s="1202">
        <v>1</v>
      </c>
      <c r="S390" s="1202">
        <v>1</v>
      </c>
      <c r="T390" s="1202">
        <v>1</v>
      </c>
      <c r="U390" s="1202">
        <v>0</v>
      </c>
      <c r="V390" s="1202">
        <v>1</v>
      </c>
      <c r="W390" s="1202">
        <v>1</v>
      </c>
      <c r="X390" s="1202">
        <v>1</v>
      </c>
      <c r="Y390" s="1202">
        <v>1</v>
      </c>
      <c r="Z390" s="1202">
        <v>1</v>
      </c>
      <c r="AA390" s="1202">
        <v>1</v>
      </c>
      <c r="AB390" s="1202">
        <v>1</v>
      </c>
      <c r="AC390" s="1202">
        <v>1</v>
      </c>
      <c r="AD390" s="1202">
        <v>1</v>
      </c>
      <c r="AE390" s="1202">
        <v>1</v>
      </c>
      <c r="AF390" s="1202">
        <v>1</v>
      </c>
      <c r="AG390" s="1202">
        <v>1</v>
      </c>
      <c r="AH390" s="1202">
        <v>1</v>
      </c>
      <c r="AI390" s="1202">
        <v>1</v>
      </c>
      <c r="AJ390" s="1202">
        <v>1</v>
      </c>
      <c r="AK390" s="1202">
        <v>1</v>
      </c>
      <c r="AL390" s="1202">
        <v>1</v>
      </c>
      <c r="AM390" s="1202">
        <v>1</v>
      </c>
      <c r="AN390" s="1202">
        <v>1</v>
      </c>
      <c r="AO390" s="1202">
        <v>1</v>
      </c>
      <c r="AP390" s="1202">
        <v>1</v>
      </c>
      <c r="AQ390" s="1202">
        <v>1</v>
      </c>
      <c r="AR390" s="1202">
        <v>1</v>
      </c>
      <c r="AS390" s="1202">
        <v>1</v>
      </c>
      <c r="AT390" s="1202">
        <v>1</v>
      </c>
      <c r="AU390" s="1202">
        <v>1</v>
      </c>
      <c r="AV390" s="1202">
        <v>1</v>
      </c>
      <c r="AW390" s="1202">
        <v>1</v>
      </c>
      <c r="AX390" s="1202">
        <v>1</v>
      </c>
      <c r="AY390" s="1202">
        <v>1</v>
      </c>
      <c r="AZ390" s="1202">
        <v>1</v>
      </c>
      <c r="BA390" s="1202">
        <v>1</v>
      </c>
      <c r="BB390" s="1202">
        <v>1</v>
      </c>
      <c r="BC390" s="1202">
        <v>1</v>
      </c>
      <c r="BD390" s="1202">
        <v>0</v>
      </c>
      <c r="BE390" s="1202">
        <v>1</v>
      </c>
      <c r="BF390" s="1202">
        <v>1</v>
      </c>
      <c r="BG390" s="1202">
        <v>0</v>
      </c>
      <c r="BH390" s="1202">
        <v>1</v>
      </c>
      <c r="BI390" s="1202">
        <v>1</v>
      </c>
      <c r="BJ390" s="1202">
        <v>1</v>
      </c>
      <c r="BK390" s="1202">
        <v>1</v>
      </c>
      <c r="BL390" s="1202">
        <v>1</v>
      </c>
      <c r="BM390" s="1202">
        <v>1</v>
      </c>
      <c r="BN390" s="1202">
        <v>1</v>
      </c>
      <c r="BO390" s="1202">
        <v>1</v>
      </c>
      <c r="BP390" s="1202">
        <v>1</v>
      </c>
      <c r="BQ390" s="1202">
        <v>1</v>
      </c>
      <c r="BR390" s="1202">
        <v>1</v>
      </c>
      <c r="BS390" s="1202">
        <v>1</v>
      </c>
      <c r="BT390" s="1202">
        <v>1</v>
      </c>
      <c r="BU390" s="1202">
        <v>1</v>
      </c>
      <c r="BV390" s="1202">
        <v>1</v>
      </c>
      <c r="BW390" s="1202">
        <v>1</v>
      </c>
      <c r="BX390" s="1202">
        <v>1</v>
      </c>
      <c r="BY390" s="1202">
        <v>1</v>
      </c>
      <c r="BZ390" s="1202">
        <v>1</v>
      </c>
      <c r="CA390" s="1202">
        <v>1</v>
      </c>
      <c r="CB390" s="1202">
        <v>1</v>
      </c>
    </row>
    <row r="391" spans="1:80" x14ac:dyDescent="0.3">
      <c r="A391" s="1152">
        <v>907</v>
      </c>
      <c r="B391" s="1152" t="s">
        <v>1801</v>
      </c>
      <c r="C391" s="1205" t="s">
        <v>995</v>
      </c>
      <c r="D391" s="1153"/>
      <c r="E391" s="1200">
        <v>2</v>
      </c>
      <c r="F391" s="1201">
        <v>2</v>
      </c>
      <c r="G391" s="1201">
        <v>0</v>
      </c>
      <c r="H391" s="1201">
        <v>2</v>
      </c>
      <c r="I391" s="1201">
        <v>2</v>
      </c>
      <c r="J391" s="1201">
        <v>1</v>
      </c>
      <c r="K391" s="1201">
        <v>2</v>
      </c>
      <c r="L391" s="1202">
        <v>2</v>
      </c>
      <c r="M391" s="1202">
        <v>2</v>
      </c>
      <c r="N391" s="1202">
        <v>1</v>
      </c>
      <c r="O391" s="1202">
        <v>1</v>
      </c>
      <c r="P391" s="1202">
        <v>2</v>
      </c>
      <c r="Q391" s="1202">
        <v>2</v>
      </c>
      <c r="R391" s="1202">
        <v>2</v>
      </c>
      <c r="S391" s="1202">
        <v>2</v>
      </c>
      <c r="T391" s="1202">
        <v>2</v>
      </c>
      <c r="U391" s="1202">
        <v>0</v>
      </c>
      <c r="V391" s="1202">
        <v>2</v>
      </c>
      <c r="W391" s="1202">
        <v>2</v>
      </c>
      <c r="X391" s="1202">
        <v>2</v>
      </c>
      <c r="Y391" s="1202">
        <v>2</v>
      </c>
      <c r="Z391" s="1202">
        <v>2</v>
      </c>
      <c r="AA391" s="1202">
        <v>2</v>
      </c>
      <c r="AB391" s="1202">
        <v>1</v>
      </c>
      <c r="AC391" s="1202">
        <v>2</v>
      </c>
      <c r="AD391" s="1202">
        <v>2</v>
      </c>
      <c r="AE391" s="1202">
        <v>1</v>
      </c>
      <c r="AF391" s="1202">
        <v>2</v>
      </c>
      <c r="AG391" s="1202">
        <v>1</v>
      </c>
      <c r="AH391" s="1202">
        <v>1</v>
      </c>
      <c r="AI391" s="1202">
        <v>1</v>
      </c>
      <c r="AJ391" s="1202">
        <v>2</v>
      </c>
      <c r="AK391" s="1202">
        <v>2</v>
      </c>
      <c r="AL391" s="1202">
        <v>1</v>
      </c>
      <c r="AM391" s="1202">
        <v>2</v>
      </c>
      <c r="AN391" s="1202">
        <v>2</v>
      </c>
      <c r="AO391" s="1202">
        <v>2</v>
      </c>
      <c r="AP391" s="1202">
        <v>2</v>
      </c>
      <c r="AQ391" s="1202">
        <v>2</v>
      </c>
      <c r="AR391" s="1202">
        <v>2</v>
      </c>
      <c r="AS391" s="1202">
        <v>2</v>
      </c>
      <c r="AT391" s="1202">
        <v>1</v>
      </c>
      <c r="AU391" s="1202">
        <v>1</v>
      </c>
      <c r="AV391" s="1202">
        <v>2</v>
      </c>
      <c r="AW391" s="1202">
        <v>1</v>
      </c>
      <c r="AX391" s="1202">
        <v>2</v>
      </c>
      <c r="AY391" s="1202">
        <v>2</v>
      </c>
      <c r="AZ391" s="1202">
        <v>1</v>
      </c>
      <c r="BA391" s="1202">
        <v>2</v>
      </c>
      <c r="BB391" s="1202">
        <v>1</v>
      </c>
      <c r="BC391" s="1202">
        <v>1</v>
      </c>
      <c r="BD391" s="1202">
        <v>0</v>
      </c>
      <c r="BE391" s="1202">
        <v>1</v>
      </c>
      <c r="BF391" s="1202">
        <v>2</v>
      </c>
      <c r="BG391" s="1202">
        <v>0</v>
      </c>
      <c r="BH391" s="1202">
        <v>1</v>
      </c>
      <c r="BI391" s="1202">
        <v>2</v>
      </c>
      <c r="BJ391" s="1202">
        <v>1</v>
      </c>
      <c r="BK391" s="1202">
        <v>1</v>
      </c>
      <c r="BL391" s="1202">
        <v>2</v>
      </c>
      <c r="BM391" s="1202">
        <v>1</v>
      </c>
      <c r="BN391" s="1202">
        <v>1</v>
      </c>
      <c r="BO391" s="1202">
        <v>2</v>
      </c>
      <c r="BP391" s="1202">
        <v>1</v>
      </c>
      <c r="BQ391" s="1202">
        <v>1</v>
      </c>
      <c r="BR391" s="1202">
        <v>2</v>
      </c>
      <c r="BS391" s="1202">
        <v>1</v>
      </c>
      <c r="BT391" s="1202">
        <v>2</v>
      </c>
      <c r="BU391" s="1202">
        <v>2</v>
      </c>
      <c r="BV391" s="1202">
        <v>1</v>
      </c>
      <c r="BW391" s="1202">
        <v>1</v>
      </c>
      <c r="BX391" s="1202">
        <v>1</v>
      </c>
      <c r="BY391" s="1202">
        <v>1</v>
      </c>
      <c r="BZ391" s="1202">
        <v>2</v>
      </c>
      <c r="CA391" s="1202">
        <v>2</v>
      </c>
      <c r="CB391" s="1202">
        <v>2</v>
      </c>
    </row>
    <row r="392" spans="1:80" ht="28.8" x14ac:dyDescent="0.3">
      <c r="A392" s="1152">
        <v>951</v>
      </c>
      <c r="B392" s="1152" t="s">
        <v>1801</v>
      </c>
      <c r="C392" s="1205" t="s">
        <v>996</v>
      </c>
      <c r="D392" s="1153"/>
      <c r="E392" s="1200">
        <v>2</v>
      </c>
      <c r="F392" s="1201">
        <v>2</v>
      </c>
      <c r="G392" s="1201">
        <v>0</v>
      </c>
      <c r="H392" s="1201">
        <v>2</v>
      </c>
      <c r="I392" s="1201">
        <v>2</v>
      </c>
      <c r="J392" s="1201">
        <v>2</v>
      </c>
      <c r="K392" s="1201">
        <v>2</v>
      </c>
      <c r="L392" s="1202">
        <v>2</v>
      </c>
      <c r="M392" s="1202">
        <v>2</v>
      </c>
      <c r="N392" s="1202">
        <v>1</v>
      </c>
      <c r="O392" s="1202">
        <v>2</v>
      </c>
      <c r="P392" s="1202">
        <v>2</v>
      </c>
      <c r="Q392" s="1202">
        <v>2</v>
      </c>
      <c r="R392" s="1202">
        <v>2</v>
      </c>
      <c r="S392" s="1202">
        <v>2</v>
      </c>
      <c r="T392" s="1202">
        <v>2</v>
      </c>
      <c r="U392" s="1202">
        <v>0</v>
      </c>
      <c r="V392" s="1202">
        <v>2</v>
      </c>
      <c r="W392" s="1202">
        <v>2</v>
      </c>
      <c r="X392" s="1202">
        <v>2</v>
      </c>
      <c r="Y392" s="1202">
        <v>2</v>
      </c>
      <c r="Z392" s="1202">
        <v>2</v>
      </c>
      <c r="AA392" s="1202">
        <v>2</v>
      </c>
      <c r="AB392" s="1202">
        <v>2</v>
      </c>
      <c r="AC392" s="1202">
        <v>2</v>
      </c>
      <c r="AD392" s="1202">
        <v>2</v>
      </c>
      <c r="AE392" s="1202">
        <v>1</v>
      </c>
      <c r="AF392" s="1202">
        <v>2</v>
      </c>
      <c r="AG392" s="1202">
        <v>2</v>
      </c>
      <c r="AH392" s="1202">
        <v>1</v>
      </c>
      <c r="AI392" s="1202">
        <v>2</v>
      </c>
      <c r="AJ392" s="1202">
        <v>2</v>
      </c>
      <c r="AK392" s="1202">
        <v>2</v>
      </c>
      <c r="AL392" s="1202">
        <v>2</v>
      </c>
      <c r="AM392" s="1202">
        <v>1</v>
      </c>
      <c r="AN392" s="1202">
        <v>2</v>
      </c>
      <c r="AO392" s="1202">
        <v>2</v>
      </c>
      <c r="AP392" s="1202">
        <v>2</v>
      </c>
      <c r="AQ392" s="1202">
        <v>2</v>
      </c>
      <c r="AR392" s="1202">
        <v>2</v>
      </c>
      <c r="AS392" s="1202">
        <v>2</v>
      </c>
      <c r="AT392" s="1202">
        <v>1</v>
      </c>
      <c r="AU392" s="1202">
        <v>1</v>
      </c>
      <c r="AV392" s="1202">
        <v>2</v>
      </c>
      <c r="AW392" s="1202">
        <v>2</v>
      </c>
      <c r="AX392" s="1202">
        <v>2</v>
      </c>
      <c r="AY392" s="1202">
        <v>2</v>
      </c>
      <c r="AZ392" s="1202">
        <v>2</v>
      </c>
      <c r="BA392" s="1202">
        <v>2</v>
      </c>
      <c r="BB392" s="1202">
        <v>1</v>
      </c>
      <c r="BC392" s="1202">
        <v>2</v>
      </c>
      <c r="BD392" s="1202">
        <v>0</v>
      </c>
      <c r="BE392" s="1202">
        <v>2</v>
      </c>
      <c r="BF392" s="1202">
        <v>2</v>
      </c>
      <c r="BG392" s="1202">
        <v>0</v>
      </c>
      <c r="BH392" s="1202">
        <v>2</v>
      </c>
      <c r="BI392" s="1202">
        <v>2</v>
      </c>
      <c r="BJ392" s="1202">
        <v>2</v>
      </c>
      <c r="BK392" s="1202">
        <v>2</v>
      </c>
      <c r="BL392" s="1202">
        <v>2</v>
      </c>
      <c r="BM392" s="1202">
        <v>2</v>
      </c>
      <c r="BN392" s="1202">
        <v>2</v>
      </c>
      <c r="BO392" s="1202">
        <v>2</v>
      </c>
      <c r="BP392" s="1202">
        <v>2</v>
      </c>
      <c r="BQ392" s="1202">
        <v>2</v>
      </c>
      <c r="BR392" s="1202">
        <v>2</v>
      </c>
      <c r="BS392" s="1202">
        <v>2</v>
      </c>
      <c r="BT392" s="1202">
        <v>2</v>
      </c>
      <c r="BU392" s="1202">
        <v>2</v>
      </c>
      <c r="BV392" s="1202">
        <v>2</v>
      </c>
      <c r="BW392" s="1202">
        <v>2</v>
      </c>
      <c r="BX392" s="1202">
        <v>2</v>
      </c>
      <c r="BY392" s="1202">
        <v>2</v>
      </c>
      <c r="BZ392" s="1202">
        <v>2</v>
      </c>
      <c r="CA392" s="1202">
        <v>2</v>
      </c>
      <c r="CB392" s="1202">
        <v>2</v>
      </c>
    </row>
    <row r="393" spans="1:80" x14ac:dyDescent="0.3">
      <c r="A393" s="1152">
        <v>953</v>
      </c>
      <c r="B393" s="1152" t="s">
        <v>1801</v>
      </c>
      <c r="C393" s="1205" t="s">
        <v>997</v>
      </c>
      <c r="D393" s="1153"/>
      <c r="E393" s="1200">
        <v>2</v>
      </c>
      <c r="F393" s="1201">
        <v>2</v>
      </c>
      <c r="G393" s="1201">
        <v>0</v>
      </c>
      <c r="H393" s="1201">
        <v>2</v>
      </c>
      <c r="I393" s="1201">
        <v>2</v>
      </c>
      <c r="J393" s="1201">
        <v>2</v>
      </c>
      <c r="K393" s="1201">
        <v>2</v>
      </c>
      <c r="L393" s="1202">
        <v>2</v>
      </c>
      <c r="M393" s="1202">
        <v>2</v>
      </c>
      <c r="N393" s="1202">
        <v>2</v>
      </c>
      <c r="O393" s="1202">
        <v>2</v>
      </c>
      <c r="P393" s="1202">
        <v>2</v>
      </c>
      <c r="Q393" s="1202">
        <v>2</v>
      </c>
      <c r="R393" s="1202">
        <v>2</v>
      </c>
      <c r="S393" s="1202">
        <v>2</v>
      </c>
      <c r="T393" s="1202">
        <v>2</v>
      </c>
      <c r="U393" s="1202">
        <v>0</v>
      </c>
      <c r="V393" s="1202">
        <v>2</v>
      </c>
      <c r="W393" s="1202">
        <v>2</v>
      </c>
      <c r="X393" s="1202">
        <v>2</v>
      </c>
      <c r="Y393" s="1202">
        <v>2</v>
      </c>
      <c r="Z393" s="1202">
        <v>2</v>
      </c>
      <c r="AA393" s="1202">
        <v>2</v>
      </c>
      <c r="AB393" s="1202">
        <v>2</v>
      </c>
      <c r="AC393" s="1202">
        <v>2</v>
      </c>
      <c r="AD393" s="1202">
        <v>2</v>
      </c>
      <c r="AE393" s="1202">
        <v>2</v>
      </c>
      <c r="AF393" s="1202">
        <v>2</v>
      </c>
      <c r="AG393" s="1202">
        <v>2</v>
      </c>
      <c r="AH393" s="1202">
        <v>2</v>
      </c>
      <c r="AI393" s="1202">
        <v>2</v>
      </c>
      <c r="AJ393" s="1202">
        <v>2</v>
      </c>
      <c r="AK393" s="1202">
        <v>2</v>
      </c>
      <c r="AL393" s="1202">
        <v>2</v>
      </c>
      <c r="AM393" s="1202">
        <v>2</v>
      </c>
      <c r="AN393" s="1202">
        <v>2</v>
      </c>
      <c r="AO393" s="1202">
        <v>2</v>
      </c>
      <c r="AP393" s="1202">
        <v>2</v>
      </c>
      <c r="AQ393" s="1202">
        <v>2</v>
      </c>
      <c r="AR393" s="1202">
        <v>2</v>
      </c>
      <c r="AS393" s="1202">
        <v>2</v>
      </c>
      <c r="AT393" s="1202">
        <v>2</v>
      </c>
      <c r="AU393" s="1202">
        <v>2</v>
      </c>
      <c r="AV393" s="1202">
        <v>2</v>
      </c>
      <c r="AW393" s="1202">
        <v>2</v>
      </c>
      <c r="AX393" s="1202">
        <v>2</v>
      </c>
      <c r="AY393" s="1202">
        <v>2</v>
      </c>
      <c r="AZ393" s="1202">
        <v>2</v>
      </c>
      <c r="BA393" s="1202">
        <v>2</v>
      </c>
      <c r="BB393" s="1202">
        <v>2</v>
      </c>
      <c r="BC393" s="1202">
        <v>2</v>
      </c>
      <c r="BD393" s="1202">
        <v>0</v>
      </c>
      <c r="BE393" s="1202">
        <v>2</v>
      </c>
      <c r="BF393" s="1202">
        <v>2</v>
      </c>
      <c r="BG393" s="1202">
        <v>0</v>
      </c>
      <c r="BH393" s="1202">
        <v>2</v>
      </c>
      <c r="BI393" s="1202">
        <v>2</v>
      </c>
      <c r="BJ393" s="1202">
        <v>2</v>
      </c>
      <c r="BK393" s="1202">
        <v>2</v>
      </c>
      <c r="BL393" s="1202">
        <v>2</v>
      </c>
      <c r="BM393" s="1202">
        <v>2</v>
      </c>
      <c r="BN393" s="1202">
        <v>2</v>
      </c>
      <c r="BO393" s="1202">
        <v>2</v>
      </c>
      <c r="BP393" s="1202">
        <v>2</v>
      </c>
      <c r="BQ393" s="1202">
        <v>2</v>
      </c>
      <c r="BR393" s="1202">
        <v>2</v>
      </c>
      <c r="BS393" s="1202">
        <v>2</v>
      </c>
      <c r="BT393" s="1202">
        <v>2</v>
      </c>
      <c r="BU393" s="1202">
        <v>2</v>
      </c>
      <c r="BV393" s="1202">
        <v>2</v>
      </c>
      <c r="BW393" s="1202">
        <v>2</v>
      </c>
      <c r="BX393" s="1202">
        <v>2</v>
      </c>
      <c r="BY393" s="1202">
        <v>2</v>
      </c>
      <c r="BZ393" s="1202">
        <v>2</v>
      </c>
      <c r="CA393" s="1202">
        <v>2</v>
      </c>
      <c r="CB393" s="1202">
        <v>2</v>
      </c>
    </row>
    <row r="394" spans="1:80" ht="28.8" x14ac:dyDescent="0.3">
      <c r="A394" s="1152">
        <v>955</v>
      </c>
      <c r="B394" s="1152" t="s">
        <v>1801</v>
      </c>
      <c r="C394" s="1205" t="s">
        <v>1007</v>
      </c>
      <c r="D394" s="1153"/>
      <c r="E394" s="1200">
        <v>0</v>
      </c>
      <c r="F394" s="1201">
        <v>0</v>
      </c>
      <c r="G394" s="1201">
        <v>0</v>
      </c>
      <c r="H394" s="1201">
        <v>0</v>
      </c>
      <c r="I394" s="1201">
        <v>0</v>
      </c>
      <c r="J394" s="1201">
        <v>3</v>
      </c>
      <c r="K394" s="1201">
        <v>0</v>
      </c>
      <c r="L394" s="1202">
        <v>0</v>
      </c>
      <c r="M394" s="1202">
        <v>0</v>
      </c>
      <c r="N394" s="1202">
        <v>0</v>
      </c>
      <c r="O394" s="1202">
        <v>0</v>
      </c>
      <c r="P394" s="1202">
        <v>1</v>
      </c>
      <c r="Q394" s="1202">
        <v>0</v>
      </c>
      <c r="R394" s="1202">
        <v>0</v>
      </c>
      <c r="S394" s="1202">
        <v>0</v>
      </c>
      <c r="T394" s="1202">
        <v>0</v>
      </c>
      <c r="U394" s="1202">
        <v>0</v>
      </c>
      <c r="V394" s="1202">
        <v>0</v>
      </c>
      <c r="W394" s="1202">
        <v>0</v>
      </c>
      <c r="X394" s="1202">
        <v>0</v>
      </c>
      <c r="Y394" s="1202">
        <v>0</v>
      </c>
      <c r="Z394" s="1202">
        <v>0</v>
      </c>
      <c r="AA394" s="1202">
        <v>0</v>
      </c>
      <c r="AB394" s="1202">
        <v>0</v>
      </c>
      <c r="AC394" s="1202">
        <v>0</v>
      </c>
      <c r="AD394" s="1202">
        <v>0</v>
      </c>
      <c r="AE394" s="1202">
        <v>0</v>
      </c>
      <c r="AF394" s="1202">
        <v>0</v>
      </c>
      <c r="AG394" s="1202">
        <v>2</v>
      </c>
      <c r="AH394" s="1202">
        <v>0</v>
      </c>
      <c r="AI394" s="1202">
        <v>0</v>
      </c>
      <c r="AJ394" s="1202">
        <v>0</v>
      </c>
      <c r="AK394" s="1202">
        <v>0</v>
      </c>
      <c r="AL394" s="1202">
        <v>0</v>
      </c>
      <c r="AM394" s="1202">
        <v>1</v>
      </c>
      <c r="AN394" s="1202">
        <v>0</v>
      </c>
      <c r="AO394" s="1202">
        <v>1</v>
      </c>
      <c r="AP394" s="1202">
        <v>0</v>
      </c>
      <c r="AQ394" s="1202">
        <v>0</v>
      </c>
      <c r="AR394" s="1202">
        <v>0</v>
      </c>
      <c r="AS394" s="1202">
        <v>1</v>
      </c>
      <c r="AT394" s="1202">
        <v>0</v>
      </c>
      <c r="AU394" s="1202">
        <v>0</v>
      </c>
      <c r="AV394" s="1202">
        <v>2</v>
      </c>
      <c r="AW394" s="1202">
        <v>0</v>
      </c>
      <c r="AX394" s="1202">
        <v>0</v>
      </c>
      <c r="AY394" s="1202">
        <v>0</v>
      </c>
      <c r="AZ394" s="1202">
        <v>0</v>
      </c>
      <c r="BA394" s="1202">
        <v>0</v>
      </c>
      <c r="BB394" s="1202">
        <v>0</v>
      </c>
      <c r="BC394" s="1202">
        <v>0</v>
      </c>
      <c r="BD394" s="1202">
        <v>0</v>
      </c>
      <c r="BE394" s="1202">
        <v>0</v>
      </c>
      <c r="BF394" s="1202">
        <v>0</v>
      </c>
      <c r="BG394" s="1202">
        <v>0</v>
      </c>
      <c r="BH394" s="1202">
        <v>0</v>
      </c>
      <c r="BI394" s="1202">
        <v>0</v>
      </c>
      <c r="BJ394" s="1202">
        <v>0</v>
      </c>
      <c r="BK394" s="1202">
        <v>4</v>
      </c>
      <c r="BL394" s="1202">
        <v>0</v>
      </c>
      <c r="BM394" s="1202">
        <v>0</v>
      </c>
      <c r="BN394" s="1202">
        <v>0</v>
      </c>
      <c r="BO394" s="1202">
        <v>0</v>
      </c>
      <c r="BP394" s="1202">
        <v>0</v>
      </c>
      <c r="BQ394" s="1202">
        <v>0</v>
      </c>
      <c r="BR394" s="1202">
        <v>0</v>
      </c>
      <c r="BS394" s="1202">
        <v>0</v>
      </c>
      <c r="BT394" s="1202">
        <v>0</v>
      </c>
      <c r="BU394" s="1202">
        <v>0</v>
      </c>
      <c r="BV394" s="1202">
        <v>1</v>
      </c>
      <c r="BW394" s="1202">
        <v>0</v>
      </c>
      <c r="BX394" s="1202">
        <v>0</v>
      </c>
      <c r="BY394" s="1202">
        <v>0</v>
      </c>
      <c r="BZ394" s="1202">
        <v>0</v>
      </c>
      <c r="CA394" s="1202">
        <v>0</v>
      </c>
      <c r="CB394" s="1202">
        <v>0</v>
      </c>
    </row>
    <row r="395" spans="1:80" ht="28.8" x14ac:dyDescent="0.3">
      <c r="A395" s="1152">
        <v>957</v>
      </c>
      <c r="B395" s="1152" t="s">
        <v>1801</v>
      </c>
      <c r="C395" s="1205" t="s">
        <v>1008</v>
      </c>
      <c r="D395" s="1153"/>
      <c r="E395" s="1200">
        <v>0</v>
      </c>
      <c r="F395" s="1201">
        <v>0</v>
      </c>
      <c r="G395" s="1201">
        <v>0</v>
      </c>
      <c r="H395" s="1201">
        <v>0</v>
      </c>
      <c r="I395" s="1201">
        <v>0</v>
      </c>
      <c r="J395" s="1201">
        <v>1</v>
      </c>
      <c r="K395" s="1201">
        <v>0</v>
      </c>
      <c r="L395" s="1202">
        <v>0</v>
      </c>
      <c r="M395" s="1202">
        <v>0</v>
      </c>
      <c r="N395" s="1202">
        <v>2</v>
      </c>
      <c r="O395" s="1202">
        <v>0</v>
      </c>
      <c r="P395" s="1202">
        <v>0</v>
      </c>
      <c r="Q395" s="1202">
        <v>0</v>
      </c>
      <c r="R395" s="1202">
        <v>0</v>
      </c>
      <c r="S395" s="1202">
        <v>0</v>
      </c>
      <c r="T395" s="1202">
        <v>0</v>
      </c>
      <c r="U395" s="1202">
        <v>0</v>
      </c>
      <c r="V395" s="1202">
        <v>0</v>
      </c>
      <c r="W395" s="1202">
        <v>0</v>
      </c>
      <c r="X395" s="1202">
        <v>0</v>
      </c>
      <c r="Y395" s="1202">
        <v>0</v>
      </c>
      <c r="Z395" s="1202">
        <v>0</v>
      </c>
      <c r="AA395" s="1202">
        <v>0</v>
      </c>
      <c r="AB395" s="1202">
        <v>2</v>
      </c>
      <c r="AC395" s="1202">
        <v>0</v>
      </c>
      <c r="AD395" s="1202">
        <v>0</v>
      </c>
      <c r="AE395" s="1202">
        <v>0</v>
      </c>
      <c r="AF395" s="1202">
        <v>0</v>
      </c>
      <c r="AG395" s="1202">
        <v>0</v>
      </c>
      <c r="AH395" s="1202">
        <v>0</v>
      </c>
      <c r="AI395" s="1202">
        <v>0</v>
      </c>
      <c r="AJ395" s="1202">
        <v>0</v>
      </c>
      <c r="AK395" s="1202">
        <v>0</v>
      </c>
      <c r="AL395" s="1202">
        <v>0</v>
      </c>
      <c r="AM395" s="1202">
        <v>0</v>
      </c>
      <c r="AN395" s="1202">
        <v>0</v>
      </c>
      <c r="AO395" s="1202">
        <v>0</v>
      </c>
      <c r="AP395" s="1202">
        <v>0</v>
      </c>
      <c r="AQ395" s="1202">
        <v>0</v>
      </c>
      <c r="AR395" s="1202">
        <v>0</v>
      </c>
      <c r="AS395" s="1202">
        <v>0</v>
      </c>
      <c r="AT395" s="1202">
        <v>0</v>
      </c>
      <c r="AU395" s="1202">
        <v>0</v>
      </c>
      <c r="AV395" s="1202">
        <v>0</v>
      </c>
      <c r="AW395" s="1202">
        <v>0</v>
      </c>
      <c r="AX395" s="1202">
        <v>0</v>
      </c>
      <c r="AY395" s="1202">
        <v>0</v>
      </c>
      <c r="AZ395" s="1202">
        <v>0</v>
      </c>
      <c r="BA395" s="1202">
        <v>0</v>
      </c>
      <c r="BB395" s="1202">
        <v>0</v>
      </c>
      <c r="BC395" s="1202">
        <v>0</v>
      </c>
      <c r="BD395" s="1202">
        <v>0</v>
      </c>
      <c r="BE395" s="1202">
        <v>0</v>
      </c>
      <c r="BF395" s="1202">
        <v>1</v>
      </c>
      <c r="BG395" s="1202">
        <v>0</v>
      </c>
      <c r="BH395" s="1202">
        <v>0</v>
      </c>
      <c r="BI395" s="1202">
        <v>0</v>
      </c>
      <c r="BJ395" s="1202">
        <v>0</v>
      </c>
      <c r="BK395" s="1202">
        <v>0</v>
      </c>
      <c r="BL395" s="1202">
        <v>0</v>
      </c>
      <c r="BM395" s="1202">
        <v>0</v>
      </c>
      <c r="BN395" s="1202">
        <v>0</v>
      </c>
      <c r="BO395" s="1202">
        <v>0</v>
      </c>
      <c r="BP395" s="1202">
        <v>0</v>
      </c>
      <c r="BQ395" s="1202">
        <v>0</v>
      </c>
      <c r="BR395" s="1202">
        <v>0</v>
      </c>
      <c r="BS395" s="1202">
        <v>0</v>
      </c>
      <c r="BT395" s="1202">
        <v>0</v>
      </c>
      <c r="BU395" s="1202">
        <v>0</v>
      </c>
      <c r="BV395" s="1202">
        <v>0</v>
      </c>
      <c r="BW395" s="1202">
        <v>2</v>
      </c>
      <c r="BX395" s="1202">
        <v>0</v>
      </c>
      <c r="BY395" s="1202">
        <v>0</v>
      </c>
      <c r="BZ395" s="1202">
        <v>0</v>
      </c>
      <c r="CA395" s="1202">
        <v>0</v>
      </c>
      <c r="CB395" s="1202">
        <v>0</v>
      </c>
    </row>
    <row r="396" spans="1:80" x14ac:dyDescent="0.3">
      <c r="A396" s="1152">
        <v>959</v>
      </c>
      <c r="B396" s="1152" t="s">
        <v>1801</v>
      </c>
      <c r="C396" s="1204" t="s">
        <v>998</v>
      </c>
      <c r="D396" s="1153"/>
      <c r="E396" s="1200">
        <v>2</v>
      </c>
      <c r="F396" s="1201">
        <v>2</v>
      </c>
      <c r="G396" s="1201">
        <v>0</v>
      </c>
      <c r="H396" s="1201">
        <v>2</v>
      </c>
      <c r="I396" s="1201">
        <v>2</v>
      </c>
      <c r="J396" s="1201">
        <v>3</v>
      </c>
      <c r="K396" s="1201">
        <v>2</v>
      </c>
      <c r="L396" s="1202">
        <v>2</v>
      </c>
      <c r="M396" s="1202">
        <v>2</v>
      </c>
      <c r="N396" s="1202">
        <v>2</v>
      </c>
      <c r="O396" s="1202">
        <v>2</v>
      </c>
      <c r="P396" s="1202">
        <v>2</v>
      </c>
      <c r="Q396" s="1202">
        <v>2</v>
      </c>
      <c r="R396" s="1202">
        <v>3</v>
      </c>
      <c r="S396" s="1202">
        <v>2</v>
      </c>
      <c r="T396" s="1202">
        <v>2</v>
      </c>
      <c r="U396" s="1202">
        <v>0</v>
      </c>
      <c r="V396" s="1202">
        <v>2</v>
      </c>
      <c r="W396" s="1202">
        <v>3</v>
      </c>
      <c r="X396" s="1202">
        <v>2</v>
      </c>
      <c r="Y396" s="1202">
        <v>2</v>
      </c>
      <c r="Z396" s="1202">
        <v>2</v>
      </c>
      <c r="AA396" s="1202">
        <v>2</v>
      </c>
      <c r="AB396" s="1202">
        <v>2</v>
      </c>
      <c r="AC396" s="1202">
        <v>3</v>
      </c>
      <c r="AD396" s="1202">
        <v>2</v>
      </c>
      <c r="AE396" s="1202">
        <v>2</v>
      </c>
      <c r="AF396" s="1202">
        <v>2</v>
      </c>
      <c r="AG396" s="1202">
        <v>2</v>
      </c>
      <c r="AH396" s="1202">
        <v>2</v>
      </c>
      <c r="AI396" s="1202">
        <v>3</v>
      </c>
      <c r="AJ396" s="1202">
        <v>2</v>
      </c>
      <c r="AK396" s="1202">
        <v>2</v>
      </c>
      <c r="AL396" s="1202">
        <v>3</v>
      </c>
      <c r="AM396" s="1202">
        <v>2</v>
      </c>
      <c r="AN396" s="1202">
        <v>2</v>
      </c>
      <c r="AO396" s="1202">
        <v>2</v>
      </c>
      <c r="AP396" s="1202">
        <v>2</v>
      </c>
      <c r="AQ396" s="1202">
        <v>2</v>
      </c>
      <c r="AR396" s="1202">
        <v>2</v>
      </c>
      <c r="AS396" s="1202">
        <v>3</v>
      </c>
      <c r="AT396" s="1202">
        <v>2</v>
      </c>
      <c r="AU396" s="1202">
        <v>2</v>
      </c>
      <c r="AV396" s="1202">
        <v>3</v>
      </c>
      <c r="AW396" s="1202">
        <v>3</v>
      </c>
      <c r="AX396" s="1202">
        <v>2</v>
      </c>
      <c r="AY396" s="1202">
        <v>2</v>
      </c>
      <c r="AZ396" s="1202">
        <v>2</v>
      </c>
      <c r="BA396" s="1202">
        <v>2</v>
      </c>
      <c r="BB396" s="1202">
        <v>2</v>
      </c>
      <c r="BC396" s="1202">
        <v>3</v>
      </c>
      <c r="BD396" s="1202">
        <v>0</v>
      </c>
      <c r="BE396" s="1202">
        <v>3</v>
      </c>
      <c r="BF396" s="1202">
        <v>2</v>
      </c>
      <c r="BG396" s="1202">
        <v>0</v>
      </c>
      <c r="BH396" s="1202">
        <v>2</v>
      </c>
      <c r="BI396" s="1202">
        <v>2</v>
      </c>
      <c r="BJ396" s="1202">
        <v>2</v>
      </c>
      <c r="BK396" s="1202">
        <v>2</v>
      </c>
      <c r="BL396" s="1202">
        <v>2</v>
      </c>
      <c r="BM396" s="1202">
        <v>2</v>
      </c>
      <c r="BN396" s="1202">
        <v>3</v>
      </c>
      <c r="BO396" s="1202">
        <v>2</v>
      </c>
      <c r="BP396" s="1202">
        <v>2</v>
      </c>
      <c r="BQ396" s="1202">
        <v>3</v>
      </c>
      <c r="BR396" s="1202">
        <v>2</v>
      </c>
      <c r="BS396" s="1202">
        <v>3</v>
      </c>
      <c r="BT396" s="1202">
        <v>2</v>
      </c>
      <c r="BU396" s="1202">
        <v>2</v>
      </c>
      <c r="BV396" s="1202">
        <v>2</v>
      </c>
      <c r="BW396" s="1202">
        <v>3</v>
      </c>
      <c r="BX396" s="1202">
        <v>3</v>
      </c>
      <c r="BY396" s="1202">
        <v>3</v>
      </c>
      <c r="BZ396" s="1202">
        <v>2</v>
      </c>
      <c r="CA396" s="1202">
        <v>2</v>
      </c>
      <c r="CB396" s="1202">
        <v>2</v>
      </c>
    </row>
    <row r="397" spans="1:80" x14ac:dyDescent="0.3">
      <c r="A397" s="1152">
        <v>961</v>
      </c>
      <c r="B397" s="1152" t="s">
        <v>1801</v>
      </c>
      <c r="C397" s="1204" t="s">
        <v>999</v>
      </c>
      <c r="D397" s="1153"/>
      <c r="E397" s="1200">
        <v>2</v>
      </c>
      <c r="F397" s="1201">
        <v>2</v>
      </c>
      <c r="G397" s="1201">
        <v>0</v>
      </c>
      <c r="H397" s="1201">
        <v>2</v>
      </c>
      <c r="I397" s="1201">
        <v>2</v>
      </c>
      <c r="J397" s="1201">
        <v>3</v>
      </c>
      <c r="K397" s="1201">
        <v>2</v>
      </c>
      <c r="L397" s="1202">
        <v>2</v>
      </c>
      <c r="M397" s="1202">
        <v>2</v>
      </c>
      <c r="N397" s="1202">
        <v>2</v>
      </c>
      <c r="O397" s="1202">
        <v>2</v>
      </c>
      <c r="P397" s="1202">
        <v>2</v>
      </c>
      <c r="Q397" s="1202">
        <v>2</v>
      </c>
      <c r="R397" s="1202">
        <v>2</v>
      </c>
      <c r="S397" s="1202">
        <v>2</v>
      </c>
      <c r="T397" s="1202">
        <v>2</v>
      </c>
      <c r="U397" s="1202">
        <v>0</v>
      </c>
      <c r="V397" s="1202">
        <v>2</v>
      </c>
      <c r="W397" s="1202">
        <v>3</v>
      </c>
      <c r="X397" s="1202">
        <v>3</v>
      </c>
      <c r="Y397" s="1202">
        <v>2</v>
      </c>
      <c r="Z397" s="1202">
        <v>2</v>
      </c>
      <c r="AA397" s="1202">
        <v>2</v>
      </c>
      <c r="AB397" s="1202">
        <v>2</v>
      </c>
      <c r="AC397" s="1202">
        <v>3</v>
      </c>
      <c r="AD397" s="1202">
        <v>2</v>
      </c>
      <c r="AE397" s="1202">
        <v>2</v>
      </c>
      <c r="AF397" s="1202">
        <v>2</v>
      </c>
      <c r="AG397" s="1202">
        <v>2</v>
      </c>
      <c r="AH397" s="1202">
        <v>3</v>
      </c>
      <c r="AI397" s="1202">
        <v>3</v>
      </c>
      <c r="AJ397" s="1202">
        <v>2</v>
      </c>
      <c r="AK397" s="1202">
        <v>2</v>
      </c>
      <c r="AL397" s="1202">
        <v>3</v>
      </c>
      <c r="AM397" s="1202">
        <v>3</v>
      </c>
      <c r="AN397" s="1202">
        <v>2</v>
      </c>
      <c r="AO397" s="1202">
        <v>2</v>
      </c>
      <c r="AP397" s="1202">
        <v>2</v>
      </c>
      <c r="AQ397" s="1202">
        <v>2</v>
      </c>
      <c r="AR397" s="1202">
        <v>2</v>
      </c>
      <c r="AS397" s="1202">
        <v>3</v>
      </c>
      <c r="AT397" s="1202">
        <v>2</v>
      </c>
      <c r="AU397" s="1202">
        <v>2</v>
      </c>
      <c r="AV397" s="1202">
        <v>2</v>
      </c>
      <c r="AW397" s="1202">
        <v>2</v>
      </c>
      <c r="AX397" s="1202">
        <v>2</v>
      </c>
      <c r="AY397" s="1202">
        <v>2</v>
      </c>
      <c r="AZ397" s="1202">
        <v>2</v>
      </c>
      <c r="BA397" s="1202">
        <v>2</v>
      </c>
      <c r="BB397" s="1202">
        <v>2</v>
      </c>
      <c r="BC397" s="1202">
        <v>3</v>
      </c>
      <c r="BD397" s="1202">
        <v>0</v>
      </c>
      <c r="BE397" s="1202">
        <v>3</v>
      </c>
      <c r="BF397" s="1202">
        <v>2</v>
      </c>
      <c r="BG397" s="1202">
        <v>0</v>
      </c>
      <c r="BH397" s="1202">
        <v>2</v>
      </c>
      <c r="BI397" s="1202">
        <v>2</v>
      </c>
      <c r="BJ397" s="1202">
        <v>2</v>
      </c>
      <c r="BK397" s="1202">
        <v>2</v>
      </c>
      <c r="BL397" s="1202">
        <v>2</v>
      </c>
      <c r="BM397" s="1202">
        <v>2</v>
      </c>
      <c r="BN397" s="1202">
        <v>3</v>
      </c>
      <c r="BO397" s="1202">
        <v>2</v>
      </c>
      <c r="BP397" s="1202">
        <v>2</v>
      </c>
      <c r="BQ397" s="1202">
        <v>3</v>
      </c>
      <c r="BR397" s="1202">
        <v>2</v>
      </c>
      <c r="BS397" s="1202">
        <v>2</v>
      </c>
      <c r="BT397" s="1202">
        <v>2</v>
      </c>
      <c r="BU397" s="1202">
        <v>2</v>
      </c>
      <c r="BV397" s="1202">
        <v>2</v>
      </c>
      <c r="BW397" s="1202">
        <v>2</v>
      </c>
      <c r="BX397" s="1202">
        <v>3</v>
      </c>
      <c r="BY397" s="1202">
        <v>3</v>
      </c>
      <c r="BZ397" s="1202">
        <v>3</v>
      </c>
      <c r="CA397" s="1202">
        <v>2</v>
      </c>
      <c r="CB397" s="1202">
        <v>2</v>
      </c>
    </row>
    <row r="398" spans="1:80" x14ac:dyDescent="0.3">
      <c r="A398" s="1152">
        <v>963</v>
      </c>
      <c r="B398" s="1152" t="s">
        <v>1801</v>
      </c>
      <c r="C398" s="1205" t="s">
        <v>1000</v>
      </c>
      <c r="D398" s="1153"/>
      <c r="E398" s="1200">
        <v>3</v>
      </c>
      <c r="F398" s="1201">
        <v>1</v>
      </c>
      <c r="G398" s="1201">
        <v>0</v>
      </c>
      <c r="H398" s="1201">
        <v>1</v>
      </c>
      <c r="I398" s="1201">
        <v>3</v>
      </c>
      <c r="J398" s="1201">
        <v>3</v>
      </c>
      <c r="K398" s="1201">
        <v>3</v>
      </c>
      <c r="L398" s="1202">
        <v>2</v>
      </c>
      <c r="M398" s="1202">
        <v>1</v>
      </c>
      <c r="N398" s="1202">
        <v>2</v>
      </c>
      <c r="O398" s="1202">
        <v>1</v>
      </c>
      <c r="P398" s="1202">
        <v>1</v>
      </c>
      <c r="Q398" s="1202">
        <v>3</v>
      </c>
      <c r="R398" s="1202">
        <v>1</v>
      </c>
      <c r="S398" s="1202">
        <v>1</v>
      </c>
      <c r="T398" s="1202">
        <v>3</v>
      </c>
      <c r="U398" s="1202">
        <v>0</v>
      </c>
      <c r="V398" s="1202">
        <v>1</v>
      </c>
      <c r="W398" s="1202">
        <v>3</v>
      </c>
      <c r="X398" s="1202">
        <v>3</v>
      </c>
      <c r="Y398" s="1202">
        <v>1</v>
      </c>
      <c r="Z398" s="1202">
        <v>3</v>
      </c>
      <c r="AA398" s="1202">
        <v>3</v>
      </c>
      <c r="AB398" s="1202">
        <v>3</v>
      </c>
      <c r="AC398" s="1202">
        <v>3</v>
      </c>
      <c r="AD398" s="1202">
        <v>1</v>
      </c>
      <c r="AE398" s="1202">
        <v>3</v>
      </c>
      <c r="AF398" s="1202">
        <v>3</v>
      </c>
      <c r="AG398" s="1202">
        <v>3</v>
      </c>
      <c r="AH398" s="1202">
        <v>1</v>
      </c>
      <c r="AI398" s="1202">
        <v>3</v>
      </c>
      <c r="AJ398" s="1202">
        <v>1</v>
      </c>
      <c r="AK398" s="1202">
        <v>1</v>
      </c>
      <c r="AL398" s="1202">
        <v>3</v>
      </c>
      <c r="AM398" s="1202">
        <v>3</v>
      </c>
      <c r="AN398" s="1202">
        <v>3</v>
      </c>
      <c r="AO398" s="1202">
        <v>3</v>
      </c>
      <c r="AP398" s="1202">
        <v>3</v>
      </c>
      <c r="AQ398" s="1202">
        <v>3</v>
      </c>
      <c r="AR398" s="1202">
        <v>3</v>
      </c>
      <c r="AS398" s="1202">
        <v>3</v>
      </c>
      <c r="AT398" s="1202">
        <v>1</v>
      </c>
      <c r="AU398" s="1202">
        <v>3</v>
      </c>
      <c r="AV398" s="1202">
        <v>1</v>
      </c>
      <c r="AW398" s="1202">
        <v>3</v>
      </c>
      <c r="AX398" s="1202">
        <v>3</v>
      </c>
      <c r="AY398" s="1202">
        <v>3</v>
      </c>
      <c r="AZ398" s="1202">
        <v>3</v>
      </c>
      <c r="BA398" s="1202">
        <v>2</v>
      </c>
      <c r="BB398" s="1202">
        <v>3</v>
      </c>
      <c r="BC398" s="1202">
        <v>3</v>
      </c>
      <c r="BD398" s="1202">
        <v>0</v>
      </c>
      <c r="BE398" s="1202">
        <v>3</v>
      </c>
      <c r="BF398" s="1202">
        <v>1</v>
      </c>
      <c r="BG398" s="1202">
        <v>0</v>
      </c>
      <c r="BH398" s="1202">
        <v>3</v>
      </c>
      <c r="BI398" s="1202">
        <v>1</v>
      </c>
      <c r="BJ398" s="1202">
        <v>3</v>
      </c>
      <c r="BK398" s="1202">
        <v>3</v>
      </c>
      <c r="BL398" s="1202">
        <v>3</v>
      </c>
      <c r="BM398" s="1202">
        <v>1</v>
      </c>
      <c r="BN398" s="1202">
        <v>3</v>
      </c>
      <c r="BO398" s="1202">
        <v>3</v>
      </c>
      <c r="BP398" s="1202">
        <v>3</v>
      </c>
      <c r="BQ398" s="1202">
        <v>3</v>
      </c>
      <c r="BR398" s="1202">
        <v>1</v>
      </c>
      <c r="BS398" s="1202">
        <v>1</v>
      </c>
      <c r="BT398" s="1202">
        <v>3</v>
      </c>
      <c r="BU398" s="1202">
        <v>3</v>
      </c>
      <c r="BV398" s="1202">
        <v>3</v>
      </c>
      <c r="BW398" s="1202">
        <v>3</v>
      </c>
      <c r="BX398" s="1202">
        <v>3</v>
      </c>
      <c r="BY398" s="1202">
        <v>3</v>
      </c>
      <c r="BZ398" s="1202">
        <v>3</v>
      </c>
      <c r="CA398" s="1202">
        <v>3</v>
      </c>
      <c r="CB398" s="1202">
        <v>3</v>
      </c>
    </row>
    <row r="399" spans="1:80" ht="28.8" x14ac:dyDescent="0.3">
      <c r="A399" s="1152">
        <v>965</v>
      </c>
      <c r="B399" s="1152" t="s">
        <v>1801</v>
      </c>
      <c r="C399" s="1205" t="s">
        <v>1001</v>
      </c>
      <c r="D399" s="1153"/>
      <c r="E399" s="1200">
        <v>1</v>
      </c>
      <c r="F399" s="1201">
        <v>1</v>
      </c>
      <c r="G399" s="1201">
        <v>0</v>
      </c>
      <c r="H399" s="1201">
        <v>1</v>
      </c>
      <c r="I399" s="1201">
        <v>1</v>
      </c>
      <c r="J399" s="1201">
        <v>1</v>
      </c>
      <c r="K399" s="1201">
        <v>1</v>
      </c>
      <c r="L399" s="1202">
        <v>1</v>
      </c>
      <c r="M399" s="1202">
        <v>1</v>
      </c>
      <c r="N399" s="1202">
        <v>1</v>
      </c>
      <c r="O399" s="1202">
        <v>1</v>
      </c>
      <c r="P399" s="1202">
        <v>1</v>
      </c>
      <c r="Q399" s="1202">
        <v>1</v>
      </c>
      <c r="R399" s="1202">
        <v>1</v>
      </c>
      <c r="S399" s="1202">
        <v>1</v>
      </c>
      <c r="T399" s="1202">
        <v>1</v>
      </c>
      <c r="U399" s="1202">
        <v>0</v>
      </c>
      <c r="V399" s="1202">
        <v>1</v>
      </c>
      <c r="W399" s="1202">
        <v>1</v>
      </c>
      <c r="X399" s="1202">
        <v>1</v>
      </c>
      <c r="Y399" s="1202">
        <v>1</v>
      </c>
      <c r="Z399" s="1202">
        <v>1</v>
      </c>
      <c r="AA399" s="1202">
        <v>1</v>
      </c>
      <c r="AB399" s="1202">
        <v>1</v>
      </c>
      <c r="AC399" s="1202">
        <v>1</v>
      </c>
      <c r="AD399" s="1202">
        <v>1</v>
      </c>
      <c r="AE399" s="1202">
        <v>1</v>
      </c>
      <c r="AF399" s="1202">
        <v>1</v>
      </c>
      <c r="AG399" s="1202">
        <v>1</v>
      </c>
      <c r="AH399" s="1202">
        <v>1</v>
      </c>
      <c r="AI399" s="1202">
        <v>1</v>
      </c>
      <c r="AJ399" s="1202">
        <v>1</v>
      </c>
      <c r="AK399" s="1202">
        <v>1</v>
      </c>
      <c r="AL399" s="1202">
        <v>1</v>
      </c>
      <c r="AM399" s="1202">
        <v>1</v>
      </c>
      <c r="AN399" s="1202">
        <v>1</v>
      </c>
      <c r="AO399" s="1202">
        <v>1</v>
      </c>
      <c r="AP399" s="1202">
        <v>1</v>
      </c>
      <c r="AQ399" s="1202">
        <v>1</v>
      </c>
      <c r="AR399" s="1202">
        <v>1</v>
      </c>
      <c r="AS399" s="1202">
        <v>1</v>
      </c>
      <c r="AT399" s="1202">
        <v>1</v>
      </c>
      <c r="AU399" s="1202">
        <v>1</v>
      </c>
      <c r="AV399" s="1202">
        <v>1</v>
      </c>
      <c r="AW399" s="1202">
        <v>1</v>
      </c>
      <c r="AX399" s="1202">
        <v>1</v>
      </c>
      <c r="AY399" s="1202">
        <v>1</v>
      </c>
      <c r="AZ399" s="1202">
        <v>1</v>
      </c>
      <c r="BA399" s="1202">
        <v>1</v>
      </c>
      <c r="BB399" s="1202">
        <v>1</v>
      </c>
      <c r="BC399" s="1202">
        <v>1</v>
      </c>
      <c r="BD399" s="1202">
        <v>0</v>
      </c>
      <c r="BE399" s="1202">
        <v>1</v>
      </c>
      <c r="BF399" s="1202">
        <v>1</v>
      </c>
      <c r="BG399" s="1202">
        <v>0</v>
      </c>
      <c r="BH399" s="1202">
        <v>1</v>
      </c>
      <c r="BI399" s="1202">
        <v>1</v>
      </c>
      <c r="BJ399" s="1202">
        <v>1</v>
      </c>
      <c r="BK399" s="1202">
        <v>1</v>
      </c>
      <c r="BL399" s="1202">
        <v>1</v>
      </c>
      <c r="BM399" s="1202">
        <v>1</v>
      </c>
      <c r="BN399" s="1202">
        <v>1</v>
      </c>
      <c r="BO399" s="1202">
        <v>1</v>
      </c>
      <c r="BP399" s="1202">
        <v>1</v>
      </c>
      <c r="BQ399" s="1202">
        <v>1</v>
      </c>
      <c r="BR399" s="1202">
        <v>1</v>
      </c>
      <c r="BS399" s="1202">
        <v>1</v>
      </c>
      <c r="BT399" s="1202">
        <v>1</v>
      </c>
      <c r="BU399" s="1202">
        <v>1</v>
      </c>
      <c r="BV399" s="1202">
        <v>1</v>
      </c>
      <c r="BW399" s="1202">
        <v>1</v>
      </c>
      <c r="BX399" s="1202">
        <v>1</v>
      </c>
      <c r="BY399" s="1202">
        <v>1</v>
      </c>
      <c r="BZ399" s="1202">
        <v>1</v>
      </c>
      <c r="CA399" s="1202">
        <v>1</v>
      </c>
      <c r="CB399" s="1202">
        <v>1</v>
      </c>
    </row>
    <row r="400" spans="1:80" x14ac:dyDescent="0.3">
      <c r="A400" s="1152">
        <v>603</v>
      </c>
      <c r="B400" s="1152" t="s">
        <v>1802</v>
      </c>
      <c r="C400" s="1205" t="s">
        <v>1006</v>
      </c>
      <c r="D400" s="1153"/>
      <c r="E400" s="1200">
        <v>1</v>
      </c>
      <c r="F400" s="1201">
        <v>1</v>
      </c>
      <c r="G400" s="1201">
        <v>0</v>
      </c>
      <c r="H400" s="1201">
        <v>1</v>
      </c>
      <c r="I400" s="1201">
        <v>0</v>
      </c>
      <c r="J400" s="1201">
        <v>2</v>
      </c>
      <c r="K400" s="1201">
        <v>0</v>
      </c>
      <c r="L400" s="1202">
        <v>1</v>
      </c>
      <c r="M400" s="1202">
        <v>1</v>
      </c>
      <c r="N400" s="1202">
        <v>2</v>
      </c>
      <c r="O400" s="1202">
        <v>6</v>
      </c>
      <c r="P400" s="1202">
        <v>0</v>
      </c>
      <c r="Q400" s="1202">
        <v>1</v>
      </c>
      <c r="R400" s="1202">
        <v>1</v>
      </c>
      <c r="S400" s="1202">
        <v>0</v>
      </c>
      <c r="T400" s="1202">
        <v>1</v>
      </c>
      <c r="U400" s="1202">
        <v>0</v>
      </c>
      <c r="V400" s="1202">
        <v>1</v>
      </c>
      <c r="W400" s="1202">
        <v>1</v>
      </c>
      <c r="X400" s="1202">
        <v>1</v>
      </c>
      <c r="Y400" s="1202">
        <v>1</v>
      </c>
      <c r="Z400" s="1202">
        <v>1</v>
      </c>
      <c r="AA400" s="1202">
        <v>0</v>
      </c>
      <c r="AB400" s="1202">
        <v>4</v>
      </c>
      <c r="AC400" s="1202">
        <v>0</v>
      </c>
      <c r="AD400" s="1202">
        <v>1</v>
      </c>
      <c r="AE400" s="1202">
        <v>0</v>
      </c>
      <c r="AF400" s="1202">
        <v>5</v>
      </c>
      <c r="AG400" s="1202">
        <v>2</v>
      </c>
      <c r="AH400" s="1202">
        <v>2</v>
      </c>
      <c r="AI400" s="1202">
        <v>0</v>
      </c>
      <c r="AJ400" s="1202">
        <v>0</v>
      </c>
      <c r="AK400" s="1202">
        <v>0</v>
      </c>
      <c r="AL400" s="1202">
        <v>2</v>
      </c>
      <c r="AM400" s="1202">
        <v>2</v>
      </c>
      <c r="AN400" s="1202">
        <v>0</v>
      </c>
      <c r="AO400" s="1202">
        <v>0</v>
      </c>
      <c r="AP400" s="1202">
        <v>0</v>
      </c>
      <c r="AQ400" s="1202">
        <v>0</v>
      </c>
      <c r="AR400" s="1202">
        <v>0</v>
      </c>
      <c r="AS400" s="1202">
        <v>0</v>
      </c>
      <c r="AT400" s="1202">
        <v>0</v>
      </c>
      <c r="AU400" s="1202">
        <v>4</v>
      </c>
      <c r="AV400" s="1202">
        <v>2</v>
      </c>
      <c r="AW400" s="1202">
        <v>2</v>
      </c>
      <c r="AX400" s="1202">
        <v>1</v>
      </c>
      <c r="AY400" s="1202">
        <v>0</v>
      </c>
      <c r="AZ400" s="1202">
        <v>2</v>
      </c>
      <c r="BA400" s="1202">
        <v>4</v>
      </c>
      <c r="BB400" s="1202">
        <v>5</v>
      </c>
      <c r="BC400" s="1202">
        <v>0</v>
      </c>
      <c r="BD400" s="1202">
        <v>0</v>
      </c>
      <c r="BE400" s="1202">
        <v>0</v>
      </c>
      <c r="BF400" s="1202">
        <v>4</v>
      </c>
      <c r="BG400" s="1202">
        <v>0</v>
      </c>
      <c r="BH400" s="1202">
        <v>0</v>
      </c>
      <c r="BI400" s="1202">
        <v>0</v>
      </c>
      <c r="BJ400" s="1202">
        <v>2</v>
      </c>
      <c r="BK400" s="1202">
        <v>0</v>
      </c>
      <c r="BL400" s="1202">
        <v>0</v>
      </c>
      <c r="BM400" s="1202">
        <v>0</v>
      </c>
      <c r="BN400" s="1202">
        <v>2</v>
      </c>
      <c r="BO400" s="1202">
        <v>1</v>
      </c>
      <c r="BP400" s="1202">
        <v>0</v>
      </c>
      <c r="BQ400" s="1202">
        <v>2</v>
      </c>
      <c r="BR400" s="1202">
        <v>1</v>
      </c>
      <c r="BS400" s="1202">
        <v>0</v>
      </c>
      <c r="BT400" s="1202">
        <v>1</v>
      </c>
      <c r="BU400" s="1202">
        <v>1</v>
      </c>
      <c r="BV400" s="1202">
        <v>0</v>
      </c>
      <c r="BW400" s="1202">
        <v>4</v>
      </c>
      <c r="BX400" s="1202">
        <v>0</v>
      </c>
      <c r="BY400" s="1202">
        <v>2</v>
      </c>
      <c r="BZ400" s="1202">
        <v>1</v>
      </c>
      <c r="CA400" s="1202">
        <v>1</v>
      </c>
      <c r="CB400" s="1202">
        <v>0</v>
      </c>
    </row>
    <row r="401" spans="1:80" x14ac:dyDescent="0.3">
      <c r="A401" s="1152">
        <v>929</v>
      </c>
      <c r="B401" s="1152" t="s">
        <v>1802</v>
      </c>
      <c r="C401" s="1205" t="s">
        <v>1002</v>
      </c>
      <c r="D401" s="1153"/>
      <c r="E401" s="1200">
        <v>2</v>
      </c>
      <c r="F401" s="1201">
        <v>2</v>
      </c>
      <c r="G401" s="1201">
        <v>0</v>
      </c>
      <c r="H401" s="1201">
        <v>2</v>
      </c>
      <c r="I401" s="1201">
        <v>0</v>
      </c>
      <c r="J401" s="1201">
        <v>2</v>
      </c>
      <c r="K401" s="1201">
        <v>0</v>
      </c>
      <c r="L401" s="1202">
        <v>2</v>
      </c>
      <c r="M401" s="1202">
        <v>2</v>
      </c>
      <c r="N401" s="1202">
        <v>2</v>
      </c>
      <c r="O401" s="1202">
        <v>2</v>
      </c>
      <c r="P401" s="1202">
        <v>0</v>
      </c>
      <c r="Q401" s="1202">
        <v>2</v>
      </c>
      <c r="R401" s="1202">
        <v>2</v>
      </c>
      <c r="S401" s="1202">
        <v>0</v>
      </c>
      <c r="T401" s="1202">
        <v>2</v>
      </c>
      <c r="U401" s="1202">
        <v>0</v>
      </c>
      <c r="V401" s="1202">
        <v>2</v>
      </c>
      <c r="W401" s="1202">
        <v>2</v>
      </c>
      <c r="X401" s="1202">
        <v>2</v>
      </c>
      <c r="Y401" s="1202">
        <v>2</v>
      </c>
      <c r="Z401" s="1202">
        <v>2</v>
      </c>
      <c r="AA401" s="1202">
        <v>0</v>
      </c>
      <c r="AB401" s="1202">
        <v>1</v>
      </c>
      <c r="AC401" s="1202">
        <v>0</v>
      </c>
      <c r="AD401" s="1202">
        <v>2</v>
      </c>
      <c r="AE401" s="1202">
        <v>0</v>
      </c>
      <c r="AF401" s="1202">
        <v>2</v>
      </c>
      <c r="AG401" s="1202">
        <v>1</v>
      </c>
      <c r="AH401" s="1202">
        <v>2</v>
      </c>
      <c r="AI401" s="1202">
        <v>0</v>
      </c>
      <c r="AJ401" s="1202">
        <v>0</v>
      </c>
      <c r="AK401" s="1202">
        <v>0</v>
      </c>
      <c r="AL401" s="1202">
        <v>1</v>
      </c>
      <c r="AM401" s="1202">
        <v>2</v>
      </c>
      <c r="AN401" s="1202">
        <v>0</v>
      </c>
      <c r="AO401" s="1202">
        <v>0</v>
      </c>
      <c r="AP401" s="1202">
        <v>0</v>
      </c>
      <c r="AQ401" s="1202">
        <v>0</v>
      </c>
      <c r="AR401" s="1202">
        <v>2</v>
      </c>
      <c r="AS401" s="1202">
        <v>0</v>
      </c>
      <c r="AT401" s="1202">
        <v>0</v>
      </c>
      <c r="AU401" s="1202">
        <v>1</v>
      </c>
      <c r="AV401" s="1202">
        <v>2</v>
      </c>
      <c r="AW401" s="1202">
        <v>2</v>
      </c>
      <c r="AX401" s="1202">
        <v>2</v>
      </c>
      <c r="AY401" s="1202">
        <v>0</v>
      </c>
      <c r="AZ401" s="1202">
        <v>2</v>
      </c>
      <c r="BA401" s="1202">
        <v>2</v>
      </c>
      <c r="BB401" s="1202">
        <v>2</v>
      </c>
      <c r="BC401" s="1202">
        <v>0</v>
      </c>
      <c r="BD401" s="1202">
        <v>0</v>
      </c>
      <c r="BE401" s="1202">
        <v>0</v>
      </c>
      <c r="BF401" s="1202">
        <v>1</v>
      </c>
      <c r="BG401" s="1202">
        <v>0</v>
      </c>
      <c r="BH401" s="1202">
        <v>0</v>
      </c>
      <c r="BI401" s="1202">
        <v>0</v>
      </c>
      <c r="BJ401" s="1202">
        <v>2</v>
      </c>
      <c r="BK401" s="1202">
        <v>0</v>
      </c>
      <c r="BL401" s="1202">
        <v>0</v>
      </c>
      <c r="BM401" s="1202">
        <v>0</v>
      </c>
      <c r="BN401" s="1202">
        <v>2</v>
      </c>
      <c r="BO401" s="1202">
        <v>2</v>
      </c>
      <c r="BP401" s="1202">
        <v>0</v>
      </c>
      <c r="BQ401" s="1202">
        <v>2</v>
      </c>
      <c r="BR401" s="1202">
        <v>2</v>
      </c>
      <c r="BS401" s="1202">
        <v>0</v>
      </c>
      <c r="BT401" s="1202">
        <v>2</v>
      </c>
      <c r="BU401" s="1202">
        <v>2</v>
      </c>
      <c r="BV401" s="1202">
        <v>0</v>
      </c>
      <c r="BW401" s="1202">
        <v>1</v>
      </c>
      <c r="BX401" s="1202">
        <v>0</v>
      </c>
      <c r="BY401" s="1202">
        <v>2</v>
      </c>
      <c r="BZ401" s="1202">
        <v>2</v>
      </c>
      <c r="CA401" s="1202">
        <v>2</v>
      </c>
      <c r="CB401" s="1202">
        <v>0</v>
      </c>
    </row>
    <row r="402" spans="1:80" x14ac:dyDescent="0.3">
      <c r="A402" s="1152">
        <v>930</v>
      </c>
      <c r="B402" s="1152" t="s">
        <v>1802</v>
      </c>
      <c r="C402" s="1205" t="s">
        <v>1003</v>
      </c>
      <c r="D402" s="1153"/>
      <c r="E402" s="1200">
        <v>1</v>
      </c>
      <c r="F402" s="1201">
        <v>2</v>
      </c>
      <c r="G402" s="1201">
        <v>0</v>
      </c>
      <c r="H402" s="1201">
        <v>2</v>
      </c>
      <c r="I402" s="1201">
        <v>0</v>
      </c>
      <c r="J402" s="1201">
        <v>2</v>
      </c>
      <c r="K402" s="1201">
        <v>0</v>
      </c>
      <c r="L402" s="1202">
        <v>2</v>
      </c>
      <c r="M402" s="1202">
        <v>2</v>
      </c>
      <c r="N402" s="1202">
        <v>2</v>
      </c>
      <c r="O402" s="1202">
        <v>2</v>
      </c>
      <c r="P402" s="1202">
        <v>0</v>
      </c>
      <c r="Q402" s="1202">
        <v>2</v>
      </c>
      <c r="R402" s="1202">
        <v>2</v>
      </c>
      <c r="S402" s="1202">
        <v>0</v>
      </c>
      <c r="T402" s="1202">
        <v>2</v>
      </c>
      <c r="U402" s="1202">
        <v>0</v>
      </c>
      <c r="V402" s="1202">
        <v>1</v>
      </c>
      <c r="W402" s="1202">
        <v>2</v>
      </c>
      <c r="X402" s="1202">
        <v>2</v>
      </c>
      <c r="Y402" s="1202">
        <v>2</v>
      </c>
      <c r="Z402" s="1202">
        <v>2</v>
      </c>
      <c r="AA402" s="1202">
        <v>0</v>
      </c>
      <c r="AB402" s="1202">
        <v>2</v>
      </c>
      <c r="AC402" s="1202">
        <v>0</v>
      </c>
      <c r="AD402" s="1202">
        <v>2</v>
      </c>
      <c r="AE402" s="1202">
        <v>0</v>
      </c>
      <c r="AF402" s="1202">
        <v>2</v>
      </c>
      <c r="AG402" s="1202">
        <v>0</v>
      </c>
      <c r="AH402" s="1202">
        <v>2</v>
      </c>
      <c r="AI402" s="1202">
        <v>0</v>
      </c>
      <c r="AJ402" s="1202">
        <v>0</v>
      </c>
      <c r="AK402" s="1202">
        <v>0</v>
      </c>
      <c r="AL402" s="1202">
        <v>2</v>
      </c>
      <c r="AM402" s="1202">
        <v>2</v>
      </c>
      <c r="AN402" s="1202">
        <v>0</v>
      </c>
      <c r="AO402" s="1202">
        <v>0</v>
      </c>
      <c r="AP402" s="1202">
        <v>0</v>
      </c>
      <c r="AQ402" s="1202">
        <v>0</v>
      </c>
      <c r="AR402" s="1202">
        <v>2</v>
      </c>
      <c r="AS402" s="1202">
        <v>0</v>
      </c>
      <c r="AT402" s="1202">
        <v>0</v>
      </c>
      <c r="AU402" s="1202">
        <v>2</v>
      </c>
      <c r="AV402" s="1202">
        <v>2</v>
      </c>
      <c r="AW402" s="1202">
        <v>2</v>
      </c>
      <c r="AX402" s="1202">
        <v>2</v>
      </c>
      <c r="AY402" s="1202">
        <v>0</v>
      </c>
      <c r="AZ402" s="1202">
        <v>2</v>
      </c>
      <c r="BA402" s="1202">
        <v>1</v>
      </c>
      <c r="BB402" s="1202">
        <v>1</v>
      </c>
      <c r="BC402" s="1202">
        <v>0</v>
      </c>
      <c r="BD402" s="1202">
        <v>0</v>
      </c>
      <c r="BE402" s="1202">
        <v>0</v>
      </c>
      <c r="BF402" s="1202">
        <v>2</v>
      </c>
      <c r="BG402" s="1202">
        <v>0</v>
      </c>
      <c r="BH402" s="1202">
        <v>0</v>
      </c>
      <c r="BI402" s="1202">
        <v>0</v>
      </c>
      <c r="BJ402" s="1202">
        <v>2</v>
      </c>
      <c r="BK402" s="1202">
        <v>0</v>
      </c>
      <c r="BL402" s="1202">
        <v>0</v>
      </c>
      <c r="BM402" s="1202">
        <v>0</v>
      </c>
      <c r="BN402" s="1202">
        <v>2</v>
      </c>
      <c r="BO402" s="1202">
        <v>2</v>
      </c>
      <c r="BP402" s="1202">
        <v>0</v>
      </c>
      <c r="BQ402" s="1202">
        <v>2</v>
      </c>
      <c r="BR402" s="1202">
        <v>2</v>
      </c>
      <c r="BS402" s="1202">
        <v>0</v>
      </c>
      <c r="BT402" s="1202">
        <v>2</v>
      </c>
      <c r="BU402" s="1202">
        <v>2</v>
      </c>
      <c r="BV402" s="1202">
        <v>0</v>
      </c>
      <c r="BW402" s="1202">
        <v>2</v>
      </c>
      <c r="BX402" s="1202">
        <v>0</v>
      </c>
      <c r="BY402" s="1202">
        <v>2</v>
      </c>
      <c r="BZ402" s="1202">
        <v>2</v>
      </c>
      <c r="CA402" s="1202">
        <v>2</v>
      </c>
      <c r="CB402" s="1202">
        <v>0</v>
      </c>
    </row>
    <row r="403" spans="1:80" x14ac:dyDescent="0.3">
      <c r="A403" s="1152">
        <v>931</v>
      </c>
      <c r="B403" s="1152" t="s">
        <v>1802</v>
      </c>
      <c r="C403" s="1205" t="s">
        <v>1004</v>
      </c>
      <c r="D403" s="1153"/>
      <c r="E403" s="1200">
        <v>2</v>
      </c>
      <c r="F403" s="1201">
        <v>2</v>
      </c>
      <c r="G403" s="1201">
        <v>0</v>
      </c>
      <c r="H403" s="1201">
        <v>2</v>
      </c>
      <c r="I403" s="1201">
        <v>0</v>
      </c>
      <c r="J403" s="1201">
        <v>2</v>
      </c>
      <c r="K403" s="1201">
        <v>0</v>
      </c>
      <c r="L403" s="1202">
        <v>2</v>
      </c>
      <c r="M403" s="1202">
        <v>2</v>
      </c>
      <c r="N403" s="1202">
        <v>2</v>
      </c>
      <c r="O403" s="1202">
        <v>2</v>
      </c>
      <c r="P403" s="1202">
        <v>0</v>
      </c>
      <c r="Q403" s="1202">
        <v>2</v>
      </c>
      <c r="R403" s="1202">
        <v>2</v>
      </c>
      <c r="S403" s="1202">
        <v>0</v>
      </c>
      <c r="T403" s="1202">
        <v>2</v>
      </c>
      <c r="U403" s="1202">
        <v>0</v>
      </c>
      <c r="V403" s="1202">
        <v>2</v>
      </c>
      <c r="W403" s="1202">
        <v>2</v>
      </c>
      <c r="X403" s="1202">
        <v>2</v>
      </c>
      <c r="Y403" s="1202">
        <v>2</v>
      </c>
      <c r="Z403" s="1202">
        <v>2</v>
      </c>
      <c r="AA403" s="1202">
        <v>0</v>
      </c>
      <c r="AB403" s="1202">
        <v>2</v>
      </c>
      <c r="AC403" s="1202">
        <v>0</v>
      </c>
      <c r="AD403" s="1202">
        <v>2</v>
      </c>
      <c r="AE403" s="1202">
        <v>0</v>
      </c>
      <c r="AF403" s="1202">
        <v>2</v>
      </c>
      <c r="AG403" s="1202">
        <v>0</v>
      </c>
      <c r="AH403" s="1202">
        <v>2</v>
      </c>
      <c r="AI403" s="1202">
        <v>0</v>
      </c>
      <c r="AJ403" s="1202">
        <v>0</v>
      </c>
      <c r="AK403" s="1202">
        <v>0</v>
      </c>
      <c r="AL403" s="1202">
        <v>2</v>
      </c>
      <c r="AM403" s="1202">
        <v>2</v>
      </c>
      <c r="AN403" s="1202">
        <v>0</v>
      </c>
      <c r="AO403" s="1202">
        <v>0</v>
      </c>
      <c r="AP403" s="1202">
        <v>0</v>
      </c>
      <c r="AQ403" s="1202">
        <v>0</v>
      </c>
      <c r="AR403" s="1202">
        <v>2</v>
      </c>
      <c r="AS403" s="1202">
        <v>0</v>
      </c>
      <c r="AT403" s="1202">
        <v>0</v>
      </c>
      <c r="AU403" s="1202">
        <v>2</v>
      </c>
      <c r="AV403" s="1202">
        <v>2</v>
      </c>
      <c r="AW403" s="1202">
        <v>2</v>
      </c>
      <c r="AX403" s="1202">
        <v>2</v>
      </c>
      <c r="AY403" s="1202">
        <v>0</v>
      </c>
      <c r="AZ403" s="1202">
        <v>2</v>
      </c>
      <c r="BA403" s="1202">
        <v>2</v>
      </c>
      <c r="BB403" s="1202">
        <v>2</v>
      </c>
      <c r="BC403" s="1202">
        <v>0</v>
      </c>
      <c r="BD403" s="1202">
        <v>0</v>
      </c>
      <c r="BE403" s="1202">
        <v>0</v>
      </c>
      <c r="BF403" s="1202">
        <v>2</v>
      </c>
      <c r="BG403" s="1202">
        <v>0</v>
      </c>
      <c r="BH403" s="1202">
        <v>0</v>
      </c>
      <c r="BI403" s="1202">
        <v>0</v>
      </c>
      <c r="BJ403" s="1202">
        <v>2</v>
      </c>
      <c r="BK403" s="1202">
        <v>0</v>
      </c>
      <c r="BL403" s="1202">
        <v>0</v>
      </c>
      <c r="BM403" s="1202">
        <v>0</v>
      </c>
      <c r="BN403" s="1202">
        <v>2</v>
      </c>
      <c r="BO403" s="1202">
        <v>2</v>
      </c>
      <c r="BP403" s="1202">
        <v>0</v>
      </c>
      <c r="BQ403" s="1202">
        <v>2</v>
      </c>
      <c r="BR403" s="1202">
        <v>2</v>
      </c>
      <c r="BS403" s="1202">
        <v>0</v>
      </c>
      <c r="BT403" s="1202">
        <v>2</v>
      </c>
      <c r="BU403" s="1202">
        <v>2</v>
      </c>
      <c r="BV403" s="1202">
        <v>0</v>
      </c>
      <c r="BW403" s="1202">
        <v>2</v>
      </c>
      <c r="BX403" s="1202">
        <v>0</v>
      </c>
      <c r="BY403" s="1202">
        <v>2</v>
      </c>
      <c r="BZ403" s="1202">
        <v>2</v>
      </c>
      <c r="CA403" s="1202">
        <v>2</v>
      </c>
      <c r="CB403" s="1202">
        <v>0</v>
      </c>
    </row>
    <row r="404" spans="1:80" x14ac:dyDescent="0.3">
      <c r="A404" s="1152">
        <v>932</v>
      </c>
      <c r="B404" s="1152" t="s">
        <v>1802</v>
      </c>
      <c r="C404" s="1205" t="s">
        <v>1005</v>
      </c>
      <c r="D404" s="1153"/>
      <c r="E404" s="1200">
        <v>2</v>
      </c>
      <c r="F404" s="1201">
        <v>2</v>
      </c>
      <c r="G404" s="1201">
        <v>0</v>
      </c>
      <c r="H404" s="1201">
        <v>2</v>
      </c>
      <c r="I404" s="1201">
        <v>0</v>
      </c>
      <c r="J404" s="1201">
        <v>2</v>
      </c>
      <c r="K404" s="1201">
        <v>0</v>
      </c>
      <c r="L404" s="1202">
        <v>2</v>
      </c>
      <c r="M404" s="1202">
        <v>2</v>
      </c>
      <c r="N404" s="1202">
        <v>2</v>
      </c>
      <c r="O404" s="1202">
        <v>2</v>
      </c>
      <c r="P404" s="1202">
        <v>0</v>
      </c>
      <c r="Q404" s="1202">
        <v>2</v>
      </c>
      <c r="R404" s="1202">
        <v>2</v>
      </c>
      <c r="S404" s="1202">
        <v>0</v>
      </c>
      <c r="T404" s="1202">
        <v>2</v>
      </c>
      <c r="U404" s="1202">
        <v>0</v>
      </c>
      <c r="V404" s="1202">
        <v>2</v>
      </c>
      <c r="W404" s="1202">
        <v>2</v>
      </c>
      <c r="X404" s="1202">
        <v>2</v>
      </c>
      <c r="Y404" s="1202">
        <v>2</v>
      </c>
      <c r="Z404" s="1202">
        <v>2</v>
      </c>
      <c r="AA404" s="1202">
        <v>0</v>
      </c>
      <c r="AB404" s="1202">
        <v>2</v>
      </c>
      <c r="AC404" s="1202">
        <v>0</v>
      </c>
      <c r="AD404" s="1202">
        <v>2</v>
      </c>
      <c r="AE404" s="1202">
        <v>0</v>
      </c>
      <c r="AF404" s="1202">
        <v>2</v>
      </c>
      <c r="AG404" s="1202">
        <v>0</v>
      </c>
      <c r="AH404" s="1202">
        <v>2</v>
      </c>
      <c r="AI404" s="1202">
        <v>0</v>
      </c>
      <c r="AJ404" s="1202">
        <v>0</v>
      </c>
      <c r="AK404" s="1202">
        <v>0</v>
      </c>
      <c r="AL404" s="1202">
        <v>2</v>
      </c>
      <c r="AM404" s="1202">
        <v>2</v>
      </c>
      <c r="AN404" s="1202">
        <v>0</v>
      </c>
      <c r="AO404" s="1202">
        <v>0</v>
      </c>
      <c r="AP404" s="1202">
        <v>0</v>
      </c>
      <c r="AQ404" s="1202">
        <v>0</v>
      </c>
      <c r="AR404" s="1202">
        <v>2</v>
      </c>
      <c r="AS404" s="1202">
        <v>0</v>
      </c>
      <c r="AT404" s="1202">
        <v>0</v>
      </c>
      <c r="AU404" s="1202">
        <v>2</v>
      </c>
      <c r="AV404" s="1202">
        <v>2</v>
      </c>
      <c r="AW404" s="1202">
        <v>2</v>
      </c>
      <c r="AX404" s="1202">
        <v>2</v>
      </c>
      <c r="AY404" s="1202">
        <v>0</v>
      </c>
      <c r="AZ404" s="1202">
        <v>2</v>
      </c>
      <c r="BA404" s="1202">
        <v>2</v>
      </c>
      <c r="BB404" s="1202">
        <v>1</v>
      </c>
      <c r="BC404" s="1202">
        <v>0</v>
      </c>
      <c r="BD404" s="1202">
        <v>0</v>
      </c>
      <c r="BE404" s="1202">
        <v>0</v>
      </c>
      <c r="BF404" s="1202">
        <v>2</v>
      </c>
      <c r="BG404" s="1202">
        <v>0</v>
      </c>
      <c r="BH404" s="1202">
        <v>0</v>
      </c>
      <c r="BI404" s="1202">
        <v>0</v>
      </c>
      <c r="BJ404" s="1202">
        <v>2</v>
      </c>
      <c r="BK404" s="1202">
        <v>0</v>
      </c>
      <c r="BL404" s="1202">
        <v>0</v>
      </c>
      <c r="BM404" s="1202">
        <v>0</v>
      </c>
      <c r="BN404" s="1202">
        <v>2</v>
      </c>
      <c r="BO404" s="1202">
        <v>2</v>
      </c>
      <c r="BP404" s="1202">
        <v>0</v>
      </c>
      <c r="BQ404" s="1202">
        <v>2</v>
      </c>
      <c r="BR404" s="1202">
        <v>2</v>
      </c>
      <c r="BS404" s="1202">
        <v>0</v>
      </c>
      <c r="BT404" s="1202">
        <v>2</v>
      </c>
      <c r="BU404" s="1202">
        <v>2</v>
      </c>
      <c r="BV404" s="1202">
        <v>0</v>
      </c>
      <c r="BW404" s="1202">
        <v>2</v>
      </c>
      <c r="BX404" s="1202">
        <v>0</v>
      </c>
      <c r="BY404" s="1202">
        <v>2</v>
      </c>
      <c r="BZ404" s="1202">
        <v>2</v>
      </c>
      <c r="CA404" s="1202">
        <v>2</v>
      </c>
      <c r="CB404" s="1202">
        <v>0</v>
      </c>
    </row>
    <row r="405" spans="1:80" x14ac:dyDescent="0.3">
      <c r="B405" s="1154"/>
      <c r="E405" s="1209">
        <f>SUM(E367:E404)</f>
        <v>131085.03</v>
      </c>
      <c r="F405" s="1209">
        <f t="shared" ref="F405:BQ405" si="4">SUM(F367:F404)</f>
        <v>5277922</v>
      </c>
      <c r="G405" s="1209">
        <f t="shared" si="4"/>
        <v>0.01</v>
      </c>
      <c r="H405" s="1209">
        <f t="shared" si="4"/>
        <v>59210639.009999998</v>
      </c>
      <c r="I405" s="1209">
        <f t="shared" si="4"/>
        <v>13999330.029999999</v>
      </c>
      <c r="J405" s="1209">
        <f t="shared" si="4"/>
        <v>327194.01</v>
      </c>
      <c r="K405" s="1209">
        <f t="shared" si="4"/>
        <v>6156485.0199999996</v>
      </c>
      <c r="L405" s="1209">
        <f t="shared" si="4"/>
        <v>1170309.01</v>
      </c>
      <c r="M405" s="1209">
        <f t="shared" si="4"/>
        <v>30287326.010000002</v>
      </c>
      <c r="N405" s="1209">
        <f t="shared" si="4"/>
        <v>64698</v>
      </c>
      <c r="O405" s="1209">
        <f t="shared" si="4"/>
        <v>1733583.01</v>
      </c>
      <c r="P405" s="1209">
        <f t="shared" si="4"/>
        <v>1244922.01</v>
      </c>
      <c r="Q405" s="1209">
        <f t="shared" si="4"/>
        <v>6045854</v>
      </c>
      <c r="R405" s="1209">
        <f t="shared" si="4"/>
        <v>13150612.01</v>
      </c>
      <c r="S405" s="1209">
        <f t="shared" si="4"/>
        <v>10465035.01</v>
      </c>
      <c r="T405" s="1209">
        <f t="shared" si="4"/>
        <v>20431761.100000001</v>
      </c>
      <c r="U405" s="1209">
        <f t="shared" si="4"/>
        <v>0.01</v>
      </c>
      <c r="V405" s="1209">
        <f t="shared" si="4"/>
        <v>63596832.089999996</v>
      </c>
      <c r="W405" s="1209">
        <f t="shared" si="4"/>
        <v>50652</v>
      </c>
      <c r="X405" s="1209">
        <f t="shared" si="4"/>
        <v>2050088</v>
      </c>
      <c r="Y405" s="1209">
        <f t="shared" si="4"/>
        <v>2454014.9900000002</v>
      </c>
      <c r="Z405" s="1209">
        <f t="shared" si="4"/>
        <v>4260024.01</v>
      </c>
      <c r="AA405" s="1209">
        <f t="shared" si="4"/>
        <v>3248801.09</v>
      </c>
      <c r="AB405" s="1209">
        <f t="shared" si="4"/>
        <v>1870232.07</v>
      </c>
      <c r="AC405" s="1209">
        <f t="shared" si="4"/>
        <v>75599</v>
      </c>
      <c r="AD405" s="1209">
        <f t="shared" si="4"/>
        <v>202872.01</v>
      </c>
      <c r="AE405" s="1209">
        <f t="shared" si="4"/>
        <v>1872149.01</v>
      </c>
      <c r="AF405" s="1209">
        <f t="shared" si="4"/>
        <v>5064202.08</v>
      </c>
      <c r="AG405" s="1209">
        <f t="shared" si="4"/>
        <v>127997.01</v>
      </c>
      <c r="AH405" s="1209">
        <f t="shared" si="4"/>
        <v>51633</v>
      </c>
      <c r="AI405" s="1209">
        <f t="shared" si="4"/>
        <v>50734</v>
      </c>
      <c r="AJ405" s="1209">
        <f t="shared" si="4"/>
        <v>1033291.01</v>
      </c>
      <c r="AK405" s="1209">
        <f t="shared" si="4"/>
        <v>23516178.09</v>
      </c>
      <c r="AL405" s="1209">
        <f t="shared" si="4"/>
        <v>462472.01</v>
      </c>
      <c r="AM405" s="1209">
        <f t="shared" si="4"/>
        <v>50563</v>
      </c>
      <c r="AN405" s="1209">
        <f t="shared" si="4"/>
        <v>26705374.010000002</v>
      </c>
      <c r="AO405" s="1209">
        <f t="shared" si="4"/>
        <v>24893722.009999998</v>
      </c>
      <c r="AP405" s="1209">
        <f t="shared" si="4"/>
        <v>200079.01</v>
      </c>
      <c r="AQ405" s="1209">
        <f t="shared" si="4"/>
        <v>542273</v>
      </c>
      <c r="AR405" s="1209">
        <f t="shared" si="4"/>
        <v>42458074.079999998</v>
      </c>
      <c r="AS405" s="1209">
        <f t="shared" si="4"/>
        <v>1717995.01</v>
      </c>
      <c r="AT405" s="1209">
        <f t="shared" si="4"/>
        <v>468739.01</v>
      </c>
      <c r="AU405" s="1209">
        <f t="shared" si="4"/>
        <v>2414758.0099999998</v>
      </c>
      <c r="AV405" s="1209">
        <f t="shared" si="4"/>
        <v>19594186.079999998</v>
      </c>
      <c r="AW405" s="1209">
        <f t="shared" si="4"/>
        <v>1311393.01</v>
      </c>
      <c r="AX405" s="1209">
        <f t="shared" si="4"/>
        <v>875815.01</v>
      </c>
      <c r="AY405" s="1209">
        <f t="shared" si="4"/>
        <v>1623691.01</v>
      </c>
      <c r="AZ405" s="1209">
        <f t="shared" si="4"/>
        <v>2175610.0099999998</v>
      </c>
      <c r="BA405" s="1209">
        <f t="shared" si="4"/>
        <v>5353278.09</v>
      </c>
      <c r="BB405" s="1209">
        <f t="shared" si="4"/>
        <v>68022.009999999995</v>
      </c>
      <c r="BC405" s="1209">
        <f t="shared" si="4"/>
        <v>1061808.01</v>
      </c>
      <c r="BD405" s="1209">
        <f t="shared" si="4"/>
        <v>9.9999999999999992E-2</v>
      </c>
      <c r="BE405" s="1209">
        <f t="shared" si="4"/>
        <v>53675</v>
      </c>
      <c r="BF405" s="1209">
        <f t="shared" si="4"/>
        <v>27724091.09</v>
      </c>
      <c r="BG405" s="1209">
        <f t="shared" si="4"/>
        <v>9.9999999999999992E-2</v>
      </c>
      <c r="BH405" s="1209">
        <f t="shared" si="4"/>
        <v>52575</v>
      </c>
      <c r="BI405" s="1209">
        <f t="shared" si="4"/>
        <v>1352644.01</v>
      </c>
      <c r="BJ405" s="1209">
        <f t="shared" si="4"/>
        <v>2422704.0099999998</v>
      </c>
      <c r="BK405" s="1209">
        <f t="shared" si="4"/>
        <v>50316.01</v>
      </c>
      <c r="BL405" s="1209">
        <f t="shared" si="4"/>
        <v>9119201.0800000001</v>
      </c>
      <c r="BM405" s="1209">
        <f t="shared" si="4"/>
        <v>3272294.01</v>
      </c>
      <c r="BN405" s="1209">
        <f t="shared" si="4"/>
        <v>50605</v>
      </c>
      <c r="BO405" s="1209">
        <f t="shared" si="4"/>
        <v>5325775.01</v>
      </c>
      <c r="BP405" s="1209">
        <f t="shared" si="4"/>
        <v>4426938.01</v>
      </c>
      <c r="BQ405" s="1209">
        <f t="shared" si="4"/>
        <v>1155200.01</v>
      </c>
      <c r="BR405" s="1209">
        <f t="shared" ref="BR405:CB405" si="5">SUM(BR367:BR404)</f>
        <v>2683564.0099999998</v>
      </c>
      <c r="BS405" s="1209">
        <f t="shared" si="5"/>
        <v>61521</v>
      </c>
      <c r="BT405" s="1209">
        <f t="shared" si="5"/>
        <v>6462427</v>
      </c>
      <c r="BU405" s="1209">
        <f t="shared" si="5"/>
        <v>1527967.01</v>
      </c>
      <c r="BV405" s="1209">
        <f t="shared" si="5"/>
        <v>2648791.0099999998</v>
      </c>
      <c r="BW405" s="1209">
        <f t="shared" si="5"/>
        <v>4286002.01</v>
      </c>
      <c r="BX405" s="1209">
        <f t="shared" si="5"/>
        <v>2114614.0099999998</v>
      </c>
      <c r="BY405" s="1209">
        <f t="shared" si="5"/>
        <v>50334</v>
      </c>
      <c r="BZ405" s="1209">
        <f t="shared" si="5"/>
        <v>50337</v>
      </c>
      <c r="CA405" s="1209">
        <f t="shared" si="5"/>
        <v>13767401.01</v>
      </c>
      <c r="CB405" s="1209">
        <f t="shared" si="5"/>
        <v>53192</v>
      </c>
    </row>
    <row r="406" spans="1:80" x14ac:dyDescent="0.3">
      <c r="B406" s="1154"/>
    </row>
    <row r="407" spans="1:80" x14ac:dyDescent="0.3">
      <c r="B407" s="1154"/>
      <c r="E407" s="1224">
        <f>E359-E405</f>
        <v>45779832.530000001</v>
      </c>
      <c r="F407" s="1224">
        <f t="shared" ref="F407:BQ407" si="6">F359-F405</f>
        <v>515943229.57999998</v>
      </c>
      <c r="G407" s="1224">
        <f t="shared" si="6"/>
        <v>0</v>
      </c>
      <c r="H407" s="1224">
        <f t="shared" si="6"/>
        <v>2185475940.3599997</v>
      </c>
      <c r="I407" s="1224">
        <f t="shared" si="6"/>
        <v>258361103.09999999</v>
      </c>
      <c r="J407" s="1224">
        <f t="shared" si="6"/>
        <v>13392007.41</v>
      </c>
      <c r="K407" s="1224">
        <f t="shared" si="6"/>
        <v>101258784.29000002</v>
      </c>
      <c r="L407" s="1224">
        <f t="shared" si="6"/>
        <v>70717932.400000006</v>
      </c>
      <c r="M407" s="1224">
        <f t="shared" si="6"/>
        <v>2087816951.7</v>
      </c>
      <c r="N407" s="1224">
        <f t="shared" si="6"/>
        <v>2581133.96</v>
      </c>
      <c r="O407" s="1224">
        <f t="shared" si="6"/>
        <v>46116517.060000002</v>
      </c>
      <c r="P407" s="1224">
        <f t="shared" si="6"/>
        <v>60398429.310000002</v>
      </c>
      <c r="Q407" s="1224">
        <f t="shared" si="6"/>
        <v>912794771.10000002</v>
      </c>
      <c r="R407" s="1224">
        <f t="shared" si="6"/>
        <v>562055025.46000004</v>
      </c>
      <c r="S407" s="1224">
        <f t="shared" si="6"/>
        <v>313372363.87</v>
      </c>
      <c r="T407" s="1224">
        <f t="shared" si="6"/>
        <v>810451460.65999997</v>
      </c>
      <c r="U407" s="1224">
        <f t="shared" si="6"/>
        <v>0</v>
      </c>
      <c r="V407" s="1224">
        <f t="shared" si="6"/>
        <v>1498363229.9199998</v>
      </c>
      <c r="W407" s="1224">
        <f t="shared" si="6"/>
        <v>2069487.77</v>
      </c>
      <c r="X407" s="1224">
        <f t="shared" si="6"/>
        <v>233891285.56</v>
      </c>
      <c r="Y407" s="1224">
        <f t="shared" si="6"/>
        <v>539703420.53999996</v>
      </c>
      <c r="Z407" s="1224">
        <f t="shared" si="6"/>
        <v>187280134.03999999</v>
      </c>
      <c r="AA407" s="1224">
        <f t="shared" si="6"/>
        <v>152772404.49000001</v>
      </c>
      <c r="AB407" s="1224">
        <f t="shared" si="6"/>
        <v>155900735.43000001</v>
      </c>
      <c r="AC407" s="1224">
        <f t="shared" si="6"/>
        <v>18270782.970000003</v>
      </c>
      <c r="AD407" s="1224">
        <f t="shared" si="6"/>
        <v>8033421.2699999996</v>
      </c>
      <c r="AE407" s="1224">
        <f t="shared" si="6"/>
        <v>80749823.269999996</v>
      </c>
      <c r="AF407" s="1224">
        <f t="shared" si="6"/>
        <v>193143378.72999996</v>
      </c>
      <c r="AG407" s="1224">
        <f t="shared" si="6"/>
        <v>8486217.5099999998</v>
      </c>
      <c r="AH407" s="1224">
        <f t="shared" si="6"/>
        <v>1290321.31</v>
      </c>
      <c r="AI407" s="1224">
        <f t="shared" si="6"/>
        <v>7372839.5700000003</v>
      </c>
      <c r="AJ407" s="1224">
        <f t="shared" si="6"/>
        <v>54046710.340000004</v>
      </c>
      <c r="AK407" s="1224">
        <f t="shared" si="6"/>
        <v>542074570.62</v>
      </c>
      <c r="AL407" s="1224">
        <f t="shared" si="6"/>
        <v>16652669.219999997</v>
      </c>
      <c r="AM407" s="1224">
        <f t="shared" si="6"/>
        <v>962125.58</v>
      </c>
      <c r="AN407" s="1224">
        <f t="shared" si="6"/>
        <v>920470144.88999999</v>
      </c>
      <c r="AO407" s="1224">
        <f t="shared" si="6"/>
        <v>794461060.03999996</v>
      </c>
      <c r="AP407" s="1224">
        <f t="shared" si="6"/>
        <v>20094807.77</v>
      </c>
      <c r="AQ407" s="1224">
        <f t="shared" si="6"/>
        <v>124221968.23</v>
      </c>
      <c r="AR407" s="1224">
        <f t="shared" si="6"/>
        <v>1480478115.8800001</v>
      </c>
      <c r="AS407" s="1224">
        <f t="shared" si="6"/>
        <v>89272150.680000007</v>
      </c>
      <c r="AT407" s="1224">
        <f t="shared" si="6"/>
        <v>39394885.769999996</v>
      </c>
      <c r="AU407" s="1224">
        <f t="shared" si="6"/>
        <v>122029815.17</v>
      </c>
      <c r="AV407" s="1224">
        <f t="shared" si="6"/>
        <v>589244234.62</v>
      </c>
      <c r="AW407" s="1224">
        <f t="shared" si="6"/>
        <v>18628255.73</v>
      </c>
      <c r="AX407" s="1224">
        <f t="shared" si="6"/>
        <v>42021001.759999998</v>
      </c>
      <c r="AY407" s="1224">
        <f t="shared" si="6"/>
        <v>155853342.09999999</v>
      </c>
      <c r="AZ407" s="1224">
        <f t="shared" si="6"/>
        <v>126676637.45</v>
      </c>
      <c r="BA407" s="1224">
        <f t="shared" si="6"/>
        <v>248442296.43000001</v>
      </c>
      <c r="BB407" s="1224">
        <f t="shared" si="6"/>
        <v>1525707.95</v>
      </c>
      <c r="BC407" s="1224">
        <f t="shared" si="6"/>
        <v>70220530.75999999</v>
      </c>
      <c r="BD407" s="1224">
        <f t="shared" si="6"/>
        <v>0</v>
      </c>
      <c r="BE407" s="1224">
        <f t="shared" si="6"/>
        <v>3488945.45</v>
      </c>
      <c r="BF407" s="1224">
        <f t="shared" si="6"/>
        <v>1084340646.4400003</v>
      </c>
      <c r="BG407" s="1224">
        <f t="shared" si="6"/>
        <v>0</v>
      </c>
      <c r="BH407" s="1224">
        <f t="shared" si="6"/>
        <v>1804497.9</v>
      </c>
      <c r="BI407" s="1224">
        <f t="shared" si="6"/>
        <v>110740381.16</v>
      </c>
      <c r="BJ407" s="1224">
        <f t="shared" si="6"/>
        <v>112640050.47</v>
      </c>
      <c r="BK407" s="1224">
        <f t="shared" si="6"/>
        <v>42274685.039999999</v>
      </c>
      <c r="BL407" s="1224">
        <f t="shared" si="6"/>
        <v>303589248.50999999</v>
      </c>
      <c r="BM407" s="1224">
        <f t="shared" si="6"/>
        <v>155850585.43000001</v>
      </c>
      <c r="BN407" s="1224">
        <f t="shared" si="6"/>
        <v>1463771</v>
      </c>
      <c r="BO407" s="1224">
        <f t="shared" si="6"/>
        <v>248611632.78999999</v>
      </c>
      <c r="BP407" s="1224">
        <f t="shared" si="6"/>
        <v>133656833.78000002</v>
      </c>
      <c r="BQ407" s="1224">
        <f t="shared" si="6"/>
        <v>70879347.930000007</v>
      </c>
      <c r="BR407" s="1224">
        <f t="shared" ref="BR407:CB407" si="7">BR359-BR405</f>
        <v>84866471.140000001</v>
      </c>
      <c r="BS407" s="1224">
        <f t="shared" si="7"/>
        <v>59398244.159999996</v>
      </c>
      <c r="BT407" s="1224">
        <f t="shared" si="7"/>
        <v>1030079478.46</v>
      </c>
      <c r="BU407" s="1224">
        <f t="shared" si="7"/>
        <v>80149120.900000006</v>
      </c>
      <c r="BV407" s="1224">
        <f t="shared" si="7"/>
        <v>163184245.41</v>
      </c>
      <c r="BW407" s="1224">
        <f t="shared" si="7"/>
        <v>50081872.980000004</v>
      </c>
      <c r="BX407" s="1224">
        <f t="shared" si="7"/>
        <v>44725641.799999997</v>
      </c>
      <c r="BY407" s="1224">
        <f t="shared" si="7"/>
        <v>1602941.52</v>
      </c>
      <c r="BZ407" s="1224">
        <f t="shared" si="7"/>
        <v>1909039.27</v>
      </c>
      <c r="CA407" s="1224">
        <f t="shared" si="7"/>
        <v>781090337.94000006</v>
      </c>
      <c r="CB407" s="1224">
        <f t="shared" si="7"/>
        <v>2156508.62</v>
      </c>
    </row>
    <row r="408" spans="1:80" x14ac:dyDescent="0.3">
      <c r="B408" s="1154"/>
    </row>
    <row r="409" spans="1:80" x14ac:dyDescent="0.3">
      <c r="B409" s="1154"/>
      <c r="D409" s="1154">
        <v>576</v>
      </c>
      <c r="E409" s="1209">
        <f>E226</f>
        <v>0</v>
      </c>
      <c r="F409" s="1209">
        <f t="shared" ref="F409:BQ409" si="8">F226</f>
        <v>0</v>
      </c>
      <c r="G409" s="1209">
        <f t="shared" si="8"/>
        <v>0</v>
      </c>
      <c r="H409" s="1209">
        <f t="shared" si="8"/>
        <v>74939</v>
      </c>
      <c r="I409" s="1209">
        <f t="shared" si="8"/>
        <v>0</v>
      </c>
      <c r="J409" s="1209">
        <f t="shared" si="8"/>
        <v>0</v>
      </c>
      <c r="K409" s="1209">
        <f t="shared" si="8"/>
        <v>4686</v>
      </c>
      <c r="L409" s="1209">
        <f t="shared" si="8"/>
        <v>0</v>
      </c>
      <c r="M409" s="1209">
        <f t="shared" si="8"/>
        <v>0</v>
      </c>
      <c r="N409" s="1209">
        <f t="shared" si="8"/>
        <v>0</v>
      </c>
      <c r="O409" s="1209">
        <f t="shared" si="8"/>
        <v>0</v>
      </c>
      <c r="P409" s="1209">
        <f t="shared" si="8"/>
        <v>0</v>
      </c>
      <c r="Q409" s="1209">
        <f t="shared" si="8"/>
        <v>0</v>
      </c>
      <c r="R409" s="1209">
        <f t="shared" si="8"/>
        <v>0</v>
      </c>
      <c r="S409" s="1209">
        <f t="shared" si="8"/>
        <v>0</v>
      </c>
      <c r="T409" s="1209">
        <f t="shared" si="8"/>
        <v>0</v>
      </c>
      <c r="U409" s="1209">
        <f t="shared" si="8"/>
        <v>0</v>
      </c>
      <c r="V409" s="1209">
        <f t="shared" si="8"/>
        <v>0</v>
      </c>
      <c r="W409" s="1209">
        <f t="shared" si="8"/>
        <v>0</v>
      </c>
      <c r="X409" s="1209">
        <f t="shared" si="8"/>
        <v>0</v>
      </c>
      <c r="Y409" s="1209">
        <f t="shared" si="8"/>
        <v>0</v>
      </c>
      <c r="Z409" s="1209">
        <f t="shared" si="8"/>
        <v>0</v>
      </c>
      <c r="AA409" s="1209">
        <f t="shared" si="8"/>
        <v>71543</v>
      </c>
      <c r="AB409" s="1209">
        <f t="shared" si="8"/>
        <v>0</v>
      </c>
      <c r="AC409" s="1209">
        <f t="shared" si="8"/>
        <v>0</v>
      </c>
      <c r="AD409" s="1209">
        <f t="shared" si="8"/>
        <v>0</v>
      </c>
      <c r="AE409" s="1209">
        <f t="shared" si="8"/>
        <v>0</v>
      </c>
      <c r="AF409" s="1209">
        <f t="shared" si="8"/>
        <v>0</v>
      </c>
      <c r="AG409" s="1209">
        <f t="shared" si="8"/>
        <v>0</v>
      </c>
      <c r="AH409" s="1209">
        <f t="shared" si="8"/>
        <v>0</v>
      </c>
      <c r="AI409" s="1209">
        <f t="shared" si="8"/>
        <v>0</v>
      </c>
      <c r="AJ409" s="1209">
        <f t="shared" si="8"/>
        <v>0</v>
      </c>
      <c r="AK409" s="1209">
        <f t="shared" si="8"/>
        <v>0</v>
      </c>
      <c r="AL409" s="1209">
        <f t="shared" si="8"/>
        <v>26865</v>
      </c>
      <c r="AM409" s="1209">
        <f t="shared" si="8"/>
        <v>0</v>
      </c>
      <c r="AN409" s="1209">
        <f t="shared" si="8"/>
        <v>0</v>
      </c>
      <c r="AO409" s="1209">
        <f t="shared" si="8"/>
        <v>0</v>
      </c>
      <c r="AP409" s="1209">
        <f t="shared" si="8"/>
        <v>0</v>
      </c>
      <c r="AQ409" s="1209">
        <f t="shared" si="8"/>
        <v>0</v>
      </c>
      <c r="AR409" s="1209">
        <f t="shared" si="8"/>
        <v>4360209</v>
      </c>
      <c r="AS409" s="1209">
        <f t="shared" si="8"/>
        <v>0</v>
      </c>
      <c r="AT409" s="1209">
        <f t="shared" si="8"/>
        <v>0</v>
      </c>
      <c r="AU409" s="1209">
        <f t="shared" si="8"/>
        <v>0</v>
      </c>
      <c r="AV409" s="1209">
        <f t="shared" si="8"/>
        <v>954156</v>
      </c>
      <c r="AW409" s="1209">
        <f t="shared" si="8"/>
        <v>44217</v>
      </c>
      <c r="AX409" s="1209">
        <f t="shared" si="8"/>
        <v>0</v>
      </c>
      <c r="AY409" s="1209">
        <f t="shared" si="8"/>
        <v>0</v>
      </c>
      <c r="AZ409" s="1209">
        <f t="shared" si="8"/>
        <v>0</v>
      </c>
      <c r="BA409" s="1209">
        <f t="shared" si="8"/>
        <v>0</v>
      </c>
      <c r="BB409" s="1209">
        <f t="shared" si="8"/>
        <v>0</v>
      </c>
      <c r="BC409" s="1209">
        <f t="shared" si="8"/>
        <v>0</v>
      </c>
      <c r="BD409" s="1209">
        <f t="shared" si="8"/>
        <v>0</v>
      </c>
      <c r="BE409" s="1209">
        <f t="shared" si="8"/>
        <v>0</v>
      </c>
      <c r="BF409" s="1209">
        <f t="shared" si="8"/>
        <v>1627000</v>
      </c>
      <c r="BG409" s="1209">
        <f t="shared" si="8"/>
        <v>0</v>
      </c>
      <c r="BH409" s="1209">
        <f t="shared" si="8"/>
        <v>0</v>
      </c>
      <c r="BI409" s="1209">
        <f t="shared" si="8"/>
        <v>0</v>
      </c>
      <c r="BJ409" s="1209">
        <f t="shared" si="8"/>
        <v>0</v>
      </c>
      <c r="BK409" s="1209">
        <f t="shared" si="8"/>
        <v>0</v>
      </c>
      <c r="BL409" s="1209">
        <f t="shared" si="8"/>
        <v>0</v>
      </c>
      <c r="BM409" s="1209">
        <f t="shared" si="8"/>
        <v>0</v>
      </c>
      <c r="BN409" s="1209">
        <f t="shared" si="8"/>
        <v>0</v>
      </c>
      <c r="BO409" s="1209">
        <f t="shared" si="8"/>
        <v>0</v>
      </c>
      <c r="BP409" s="1209">
        <f t="shared" si="8"/>
        <v>348103</v>
      </c>
      <c r="BQ409" s="1209">
        <f t="shared" si="8"/>
        <v>0</v>
      </c>
      <c r="BR409" s="1209">
        <f t="shared" ref="BR409:CB409" si="9">BR226</f>
        <v>0</v>
      </c>
      <c r="BS409" s="1209">
        <f t="shared" si="9"/>
        <v>0</v>
      </c>
      <c r="BT409" s="1209">
        <f t="shared" si="9"/>
        <v>0</v>
      </c>
      <c r="BU409" s="1209">
        <f t="shared" si="9"/>
        <v>40000</v>
      </c>
      <c r="BV409" s="1209">
        <f t="shared" si="9"/>
        <v>16959</v>
      </c>
      <c r="BW409" s="1209">
        <f t="shared" si="9"/>
        <v>0</v>
      </c>
      <c r="BX409" s="1209">
        <f t="shared" si="9"/>
        <v>0</v>
      </c>
      <c r="BY409" s="1209">
        <f t="shared" si="9"/>
        <v>0</v>
      </c>
      <c r="BZ409" s="1209">
        <f t="shared" si="9"/>
        <v>0</v>
      </c>
      <c r="CA409" s="1209">
        <f t="shared" si="9"/>
        <v>0</v>
      </c>
      <c r="CB409" s="1209">
        <f t="shared" si="9"/>
        <v>0</v>
      </c>
    </row>
    <row r="410" spans="1:80" x14ac:dyDescent="0.3">
      <c r="B410" s="1154"/>
      <c r="D410" s="1154">
        <v>576</v>
      </c>
      <c r="E410" s="1209">
        <f>E226</f>
        <v>0</v>
      </c>
      <c r="F410" s="1209">
        <f t="shared" ref="F410:BQ410" si="10">F226</f>
        <v>0</v>
      </c>
      <c r="G410" s="1209">
        <f t="shared" si="10"/>
        <v>0</v>
      </c>
      <c r="H410" s="1209">
        <f t="shared" si="10"/>
        <v>74939</v>
      </c>
      <c r="I410" s="1209">
        <f t="shared" si="10"/>
        <v>0</v>
      </c>
      <c r="J410" s="1209">
        <f t="shared" si="10"/>
        <v>0</v>
      </c>
      <c r="K410" s="1209">
        <f t="shared" si="10"/>
        <v>4686</v>
      </c>
      <c r="L410" s="1209">
        <f t="shared" si="10"/>
        <v>0</v>
      </c>
      <c r="M410" s="1209">
        <f t="shared" si="10"/>
        <v>0</v>
      </c>
      <c r="N410" s="1209">
        <f t="shared" si="10"/>
        <v>0</v>
      </c>
      <c r="O410" s="1209">
        <f t="shared" si="10"/>
        <v>0</v>
      </c>
      <c r="P410" s="1209">
        <f t="shared" si="10"/>
        <v>0</v>
      </c>
      <c r="Q410" s="1209">
        <f t="shared" si="10"/>
        <v>0</v>
      </c>
      <c r="R410" s="1209">
        <f t="shared" si="10"/>
        <v>0</v>
      </c>
      <c r="S410" s="1209">
        <f t="shared" si="10"/>
        <v>0</v>
      </c>
      <c r="T410" s="1209">
        <f t="shared" si="10"/>
        <v>0</v>
      </c>
      <c r="U410" s="1209">
        <f t="shared" si="10"/>
        <v>0</v>
      </c>
      <c r="V410" s="1209">
        <f t="shared" si="10"/>
        <v>0</v>
      </c>
      <c r="W410" s="1209">
        <f t="shared" si="10"/>
        <v>0</v>
      </c>
      <c r="X410" s="1209">
        <f t="shared" si="10"/>
        <v>0</v>
      </c>
      <c r="Y410" s="1209">
        <f t="shared" si="10"/>
        <v>0</v>
      </c>
      <c r="Z410" s="1209">
        <f t="shared" si="10"/>
        <v>0</v>
      </c>
      <c r="AA410" s="1209">
        <f t="shared" si="10"/>
        <v>71543</v>
      </c>
      <c r="AB410" s="1209">
        <f t="shared" si="10"/>
        <v>0</v>
      </c>
      <c r="AC410" s="1209">
        <f t="shared" si="10"/>
        <v>0</v>
      </c>
      <c r="AD410" s="1209">
        <f t="shared" si="10"/>
        <v>0</v>
      </c>
      <c r="AE410" s="1209">
        <f t="shared" si="10"/>
        <v>0</v>
      </c>
      <c r="AF410" s="1209">
        <f t="shared" si="10"/>
        <v>0</v>
      </c>
      <c r="AG410" s="1209">
        <f t="shared" si="10"/>
        <v>0</v>
      </c>
      <c r="AH410" s="1209">
        <f t="shared" si="10"/>
        <v>0</v>
      </c>
      <c r="AI410" s="1209">
        <f t="shared" si="10"/>
        <v>0</v>
      </c>
      <c r="AJ410" s="1209">
        <f t="shared" si="10"/>
        <v>0</v>
      </c>
      <c r="AK410" s="1209">
        <f t="shared" si="10"/>
        <v>0</v>
      </c>
      <c r="AL410" s="1209">
        <f t="shared" si="10"/>
        <v>26865</v>
      </c>
      <c r="AM410" s="1209">
        <f t="shared" si="10"/>
        <v>0</v>
      </c>
      <c r="AN410" s="1209">
        <f t="shared" si="10"/>
        <v>0</v>
      </c>
      <c r="AO410" s="1209">
        <f t="shared" si="10"/>
        <v>0</v>
      </c>
      <c r="AP410" s="1209">
        <f t="shared" si="10"/>
        <v>0</v>
      </c>
      <c r="AQ410" s="1209">
        <f t="shared" si="10"/>
        <v>0</v>
      </c>
      <c r="AR410" s="1209">
        <f t="shared" si="10"/>
        <v>4360209</v>
      </c>
      <c r="AS410" s="1209">
        <f t="shared" si="10"/>
        <v>0</v>
      </c>
      <c r="AT410" s="1209">
        <f t="shared" si="10"/>
        <v>0</v>
      </c>
      <c r="AU410" s="1209">
        <f t="shared" si="10"/>
        <v>0</v>
      </c>
      <c r="AV410" s="1209">
        <f t="shared" si="10"/>
        <v>954156</v>
      </c>
      <c r="AW410" s="1209">
        <f t="shared" si="10"/>
        <v>44217</v>
      </c>
      <c r="AX410" s="1209">
        <f t="shared" si="10"/>
        <v>0</v>
      </c>
      <c r="AY410" s="1209">
        <f t="shared" si="10"/>
        <v>0</v>
      </c>
      <c r="AZ410" s="1209">
        <f t="shared" si="10"/>
        <v>0</v>
      </c>
      <c r="BA410" s="1209">
        <f t="shared" si="10"/>
        <v>0</v>
      </c>
      <c r="BB410" s="1209">
        <f t="shared" si="10"/>
        <v>0</v>
      </c>
      <c r="BC410" s="1209">
        <f t="shared" si="10"/>
        <v>0</v>
      </c>
      <c r="BD410" s="1209">
        <f t="shared" si="10"/>
        <v>0</v>
      </c>
      <c r="BE410" s="1209">
        <f t="shared" si="10"/>
        <v>0</v>
      </c>
      <c r="BF410" s="1209">
        <f t="shared" si="10"/>
        <v>1627000</v>
      </c>
      <c r="BG410" s="1209">
        <f t="shared" si="10"/>
        <v>0</v>
      </c>
      <c r="BH410" s="1209">
        <f t="shared" si="10"/>
        <v>0</v>
      </c>
      <c r="BI410" s="1209">
        <f t="shared" si="10"/>
        <v>0</v>
      </c>
      <c r="BJ410" s="1209">
        <f t="shared" si="10"/>
        <v>0</v>
      </c>
      <c r="BK410" s="1209">
        <f t="shared" si="10"/>
        <v>0</v>
      </c>
      <c r="BL410" s="1209">
        <f t="shared" si="10"/>
        <v>0</v>
      </c>
      <c r="BM410" s="1209">
        <f t="shared" si="10"/>
        <v>0</v>
      </c>
      <c r="BN410" s="1209">
        <f t="shared" si="10"/>
        <v>0</v>
      </c>
      <c r="BO410" s="1209">
        <f t="shared" si="10"/>
        <v>0</v>
      </c>
      <c r="BP410" s="1209">
        <f t="shared" si="10"/>
        <v>348103</v>
      </c>
      <c r="BQ410" s="1209">
        <f t="shared" si="10"/>
        <v>0</v>
      </c>
      <c r="BR410" s="1209">
        <f t="shared" ref="BR410:CB410" si="11">BR226</f>
        <v>0</v>
      </c>
      <c r="BS410" s="1209">
        <f t="shared" si="11"/>
        <v>0</v>
      </c>
      <c r="BT410" s="1209">
        <f t="shared" si="11"/>
        <v>0</v>
      </c>
      <c r="BU410" s="1209">
        <f t="shared" si="11"/>
        <v>40000</v>
      </c>
      <c r="BV410" s="1209">
        <f t="shared" si="11"/>
        <v>16959</v>
      </c>
      <c r="BW410" s="1209">
        <f t="shared" si="11"/>
        <v>0</v>
      </c>
      <c r="BX410" s="1209">
        <f t="shared" si="11"/>
        <v>0</v>
      </c>
      <c r="BY410" s="1209">
        <f t="shared" si="11"/>
        <v>0</v>
      </c>
      <c r="BZ410" s="1209">
        <f t="shared" si="11"/>
        <v>0</v>
      </c>
      <c r="CA410" s="1209">
        <f t="shared" si="11"/>
        <v>0</v>
      </c>
      <c r="CB410" s="1209">
        <f t="shared" si="11"/>
        <v>0</v>
      </c>
    </row>
    <row r="411" spans="1:80" x14ac:dyDescent="0.3">
      <c r="B411" s="1154"/>
    </row>
    <row r="412" spans="1:80" x14ac:dyDescent="0.3">
      <c r="B412" s="1154"/>
      <c r="E412" s="1224">
        <f>E407-E409-E410</f>
        <v>45779832.530000001</v>
      </c>
      <c r="F412" s="1224">
        <f t="shared" ref="F412:BQ412" si="12">F407-F409-F410</f>
        <v>515943229.57999998</v>
      </c>
      <c r="G412" s="1224">
        <f t="shared" si="12"/>
        <v>0</v>
      </c>
      <c r="H412" s="1224">
        <f t="shared" si="12"/>
        <v>2185326062.3599997</v>
      </c>
      <c r="I412" s="1224">
        <f t="shared" si="12"/>
        <v>258361103.09999999</v>
      </c>
      <c r="J412" s="1224">
        <f t="shared" si="12"/>
        <v>13392007.41</v>
      </c>
      <c r="K412" s="1224">
        <f t="shared" si="12"/>
        <v>101249412.29000002</v>
      </c>
      <c r="L412" s="1224">
        <f t="shared" si="12"/>
        <v>70717932.400000006</v>
      </c>
      <c r="M412" s="1224">
        <f t="shared" si="12"/>
        <v>2087816951.7</v>
      </c>
      <c r="N412" s="1224">
        <f t="shared" si="12"/>
        <v>2581133.96</v>
      </c>
      <c r="O412" s="1224">
        <f t="shared" si="12"/>
        <v>46116517.060000002</v>
      </c>
      <c r="P412" s="1224">
        <f t="shared" si="12"/>
        <v>60398429.310000002</v>
      </c>
      <c r="Q412" s="1224">
        <f t="shared" si="12"/>
        <v>912794771.10000002</v>
      </c>
      <c r="R412" s="1224">
        <f t="shared" si="12"/>
        <v>562055025.46000004</v>
      </c>
      <c r="S412" s="1224">
        <f t="shared" si="12"/>
        <v>313372363.87</v>
      </c>
      <c r="T412" s="1224">
        <f t="shared" si="12"/>
        <v>810451460.65999997</v>
      </c>
      <c r="U412" s="1224">
        <f t="shared" si="12"/>
        <v>0</v>
      </c>
      <c r="V412" s="1224">
        <f t="shared" si="12"/>
        <v>1498363229.9199998</v>
      </c>
      <c r="W412" s="1224">
        <f t="shared" si="12"/>
        <v>2069487.77</v>
      </c>
      <c r="X412" s="1224">
        <f t="shared" si="12"/>
        <v>233891285.56</v>
      </c>
      <c r="Y412" s="1224">
        <f t="shared" si="12"/>
        <v>539703420.53999996</v>
      </c>
      <c r="Z412" s="1224">
        <f t="shared" si="12"/>
        <v>187280134.03999999</v>
      </c>
      <c r="AA412" s="1224">
        <f t="shared" si="12"/>
        <v>152629318.49000001</v>
      </c>
      <c r="AB412" s="1224">
        <f t="shared" si="12"/>
        <v>155900735.43000001</v>
      </c>
      <c r="AC412" s="1224">
        <f t="shared" si="12"/>
        <v>18270782.970000003</v>
      </c>
      <c r="AD412" s="1224">
        <f t="shared" si="12"/>
        <v>8033421.2699999996</v>
      </c>
      <c r="AE412" s="1224">
        <f t="shared" si="12"/>
        <v>80749823.269999996</v>
      </c>
      <c r="AF412" s="1224">
        <f t="shared" si="12"/>
        <v>193143378.72999996</v>
      </c>
      <c r="AG412" s="1224">
        <f t="shared" si="12"/>
        <v>8486217.5099999998</v>
      </c>
      <c r="AH412" s="1224">
        <f t="shared" si="12"/>
        <v>1290321.31</v>
      </c>
      <c r="AI412" s="1224">
        <f t="shared" si="12"/>
        <v>7372839.5700000003</v>
      </c>
      <c r="AJ412" s="1224">
        <f t="shared" si="12"/>
        <v>54046710.340000004</v>
      </c>
      <c r="AK412" s="1224">
        <f t="shared" si="12"/>
        <v>542074570.62</v>
      </c>
      <c r="AL412" s="1224">
        <f t="shared" si="12"/>
        <v>16598939.219999997</v>
      </c>
      <c r="AM412" s="1224">
        <f t="shared" si="12"/>
        <v>962125.58</v>
      </c>
      <c r="AN412" s="1224">
        <f t="shared" si="12"/>
        <v>920470144.88999999</v>
      </c>
      <c r="AO412" s="1224">
        <f t="shared" si="12"/>
        <v>794461060.03999996</v>
      </c>
      <c r="AP412" s="1224">
        <f t="shared" si="12"/>
        <v>20094807.77</v>
      </c>
      <c r="AQ412" s="1224">
        <f t="shared" si="12"/>
        <v>124221968.23</v>
      </c>
      <c r="AR412" s="1224">
        <f t="shared" si="12"/>
        <v>1471757697.8800001</v>
      </c>
      <c r="AS412" s="1224">
        <f t="shared" si="12"/>
        <v>89272150.680000007</v>
      </c>
      <c r="AT412" s="1224">
        <f t="shared" si="12"/>
        <v>39394885.769999996</v>
      </c>
      <c r="AU412" s="1224">
        <f t="shared" si="12"/>
        <v>122029815.17</v>
      </c>
      <c r="AV412" s="1224">
        <f t="shared" si="12"/>
        <v>587335922.62</v>
      </c>
      <c r="AW412" s="1224">
        <f t="shared" si="12"/>
        <v>18539821.73</v>
      </c>
      <c r="AX412" s="1224">
        <f t="shared" si="12"/>
        <v>42021001.759999998</v>
      </c>
      <c r="AY412" s="1224">
        <f t="shared" si="12"/>
        <v>155853342.09999999</v>
      </c>
      <c r="AZ412" s="1224">
        <f t="shared" si="12"/>
        <v>126676637.45</v>
      </c>
      <c r="BA412" s="1224">
        <f t="shared" si="12"/>
        <v>248442296.43000001</v>
      </c>
      <c r="BB412" s="1224">
        <f t="shared" si="12"/>
        <v>1525707.95</v>
      </c>
      <c r="BC412" s="1224">
        <f t="shared" si="12"/>
        <v>70220530.75999999</v>
      </c>
      <c r="BD412" s="1224">
        <f t="shared" si="12"/>
        <v>0</v>
      </c>
      <c r="BE412" s="1224">
        <f t="shared" si="12"/>
        <v>3488945.45</v>
      </c>
      <c r="BF412" s="1224">
        <f t="shared" si="12"/>
        <v>1081086646.4400003</v>
      </c>
      <c r="BG412" s="1224">
        <f t="shared" si="12"/>
        <v>0</v>
      </c>
      <c r="BH412" s="1224">
        <f t="shared" si="12"/>
        <v>1804497.9</v>
      </c>
      <c r="BI412" s="1224">
        <f t="shared" si="12"/>
        <v>110740381.16</v>
      </c>
      <c r="BJ412" s="1224">
        <f t="shared" si="12"/>
        <v>112640050.47</v>
      </c>
      <c r="BK412" s="1224">
        <f t="shared" si="12"/>
        <v>42274685.039999999</v>
      </c>
      <c r="BL412" s="1224">
        <f t="shared" si="12"/>
        <v>303589248.50999999</v>
      </c>
      <c r="BM412" s="1224">
        <f t="shared" si="12"/>
        <v>155850585.43000001</v>
      </c>
      <c r="BN412" s="1224">
        <f t="shared" si="12"/>
        <v>1463771</v>
      </c>
      <c r="BO412" s="1224">
        <f t="shared" si="12"/>
        <v>248611632.78999999</v>
      </c>
      <c r="BP412" s="1224">
        <f t="shared" si="12"/>
        <v>132960627.78000002</v>
      </c>
      <c r="BQ412" s="1224">
        <f t="shared" si="12"/>
        <v>70879347.930000007</v>
      </c>
      <c r="BR412" s="1224">
        <f t="shared" ref="BR412:CB412" si="13">BR407-BR409-BR410</f>
        <v>84866471.140000001</v>
      </c>
      <c r="BS412" s="1224">
        <f t="shared" si="13"/>
        <v>59398244.159999996</v>
      </c>
      <c r="BT412" s="1224">
        <f t="shared" si="13"/>
        <v>1030079478.46</v>
      </c>
      <c r="BU412" s="1224">
        <f t="shared" si="13"/>
        <v>80069120.900000006</v>
      </c>
      <c r="BV412" s="1224">
        <f t="shared" si="13"/>
        <v>163150327.41</v>
      </c>
      <c r="BW412" s="1224">
        <f t="shared" si="13"/>
        <v>50081872.980000004</v>
      </c>
      <c r="BX412" s="1224">
        <f t="shared" si="13"/>
        <v>44725641.799999997</v>
      </c>
      <c r="BY412" s="1224">
        <f t="shared" si="13"/>
        <v>1602941.52</v>
      </c>
      <c r="BZ412" s="1224">
        <f t="shared" si="13"/>
        <v>1909039.27</v>
      </c>
      <c r="CA412" s="1224">
        <f t="shared" si="13"/>
        <v>781090337.94000006</v>
      </c>
      <c r="CB412" s="1224">
        <f t="shared" si="13"/>
        <v>2156508.62</v>
      </c>
    </row>
    <row r="413" spans="1:80" x14ac:dyDescent="0.3">
      <c r="B413" s="1154"/>
    </row>
    <row r="414" spans="1:80" x14ac:dyDescent="0.3">
      <c r="B414" s="1154"/>
    </row>
    <row r="415" spans="1:80" x14ac:dyDescent="0.3">
      <c r="B415" s="1154"/>
    </row>
    <row r="416" spans="1:80" x14ac:dyDescent="0.3">
      <c r="B416" s="1154"/>
    </row>
    <row r="417" spans="2:2" x14ac:dyDescent="0.3">
      <c r="B417" s="1154"/>
    </row>
    <row r="418" spans="2:2" x14ac:dyDescent="0.3">
      <c r="B418" s="1154"/>
    </row>
  </sheetData>
  <mergeCells count="1">
    <mergeCell ref="A348:B348"/>
  </mergeCells>
  <printOptions headings="1" gridLines="1"/>
  <pageMargins left="0.25" right="0.25"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B305"/>
  <sheetViews>
    <sheetView zoomScale="120" zoomScaleNormal="120" workbookViewId="0">
      <selection activeCell="F20" sqref="F20"/>
    </sheetView>
  </sheetViews>
  <sheetFormatPr defaultColWidth="9.109375" defaultRowHeight="14.4" x14ac:dyDescent="0.3"/>
  <cols>
    <col min="1" max="1" width="9.109375" style="269"/>
    <col min="2" max="2" width="10.33203125" style="269" customWidth="1"/>
    <col min="3" max="3" width="32.5546875" style="269" customWidth="1"/>
    <col min="4" max="4" width="24" style="269" customWidth="1"/>
    <col min="5" max="6" width="16.88671875" style="269" bestFit="1" customWidth="1"/>
    <col min="7" max="7" width="15.6640625" style="269" bestFit="1" customWidth="1"/>
    <col min="8" max="8" width="16.88671875" style="269" bestFit="1" customWidth="1"/>
    <col min="9" max="9" width="14.5546875" style="269" bestFit="1" customWidth="1"/>
    <col min="10" max="10" width="15.6640625" style="269" bestFit="1" customWidth="1"/>
    <col min="11" max="11" width="16.88671875" style="269" bestFit="1" customWidth="1"/>
    <col min="12" max="12" width="15.6640625" style="269" bestFit="1" customWidth="1"/>
    <col min="13" max="13" width="18.6640625" style="269" bestFit="1" customWidth="1"/>
    <col min="14" max="14" width="12.6640625" style="269" bestFit="1" customWidth="1"/>
    <col min="15" max="15" width="16.88671875" style="269" bestFit="1" customWidth="1"/>
    <col min="16" max="16" width="15.6640625" style="269" bestFit="1" customWidth="1"/>
    <col min="17" max="17" width="16.88671875" style="269" bestFit="1" customWidth="1"/>
    <col min="18" max="18" width="18.6640625" style="269" bestFit="1" customWidth="1"/>
    <col min="19" max="19" width="20.44140625" style="269" customWidth="1"/>
    <col min="20" max="20" width="15.6640625" style="269" bestFit="1" customWidth="1"/>
    <col min="21" max="21" width="16.88671875" style="269" bestFit="1" customWidth="1"/>
    <col min="22" max="22" width="15.5546875" style="269" customWidth="1"/>
    <col min="23" max="23" width="15.6640625" style="269" bestFit="1" customWidth="1"/>
    <col min="24" max="24" width="14.5546875" style="269" bestFit="1" customWidth="1"/>
    <col min="25" max="25" width="16.88671875" style="269" bestFit="1" customWidth="1"/>
    <col min="26" max="28" width="15.6640625" style="269" bestFit="1" customWidth="1"/>
    <col min="29" max="29" width="16.88671875" style="269" bestFit="1" customWidth="1"/>
    <col min="30" max="31" width="15.6640625" style="269" bestFit="1" customWidth="1"/>
    <col min="32" max="33" width="14.5546875" style="269" bestFit="1" customWidth="1"/>
    <col min="34" max="35" width="16.88671875" style="269" bestFit="1" customWidth="1"/>
    <col min="36" max="36" width="15.6640625" style="269" bestFit="1" customWidth="1"/>
    <col min="37" max="37" width="16.88671875" style="269" bestFit="1" customWidth="1"/>
    <col min="38" max="38" width="17.44140625" style="269" customWidth="1"/>
    <col min="39" max="39" width="14.5546875" style="269" bestFit="1" customWidth="1"/>
    <col min="40" max="40" width="16.88671875" style="269" bestFit="1" customWidth="1"/>
    <col min="41" max="41" width="15.6640625" style="269" bestFit="1" customWidth="1"/>
    <col min="42" max="42" width="16.88671875" style="269" bestFit="1" customWidth="1"/>
    <col min="43" max="43" width="14.5546875" style="269" bestFit="1" customWidth="1"/>
    <col min="44" max="44" width="17.6640625" style="269" customWidth="1"/>
    <col min="45" max="47" width="15.6640625" style="269" bestFit="1" customWidth="1"/>
    <col min="48" max="48" width="16.5546875" style="269" customWidth="1"/>
    <col min="49" max="49" width="16.88671875" style="269" bestFit="1" customWidth="1"/>
    <col min="50" max="50" width="15.6640625" style="269" bestFit="1" customWidth="1"/>
    <col min="51" max="51" width="16.88671875" style="269" bestFit="1" customWidth="1"/>
    <col min="52" max="53" width="14.5546875" style="269" bestFit="1" customWidth="1"/>
    <col min="54" max="55" width="15.6640625" style="269" bestFit="1" customWidth="1"/>
    <col min="56" max="56" width="14.5546875" style="269" bestFit="1" customWidth="1"/>
    <col min="57" max="57" width="15.6640625" style="269" bestFit="1" customWidth="1"/>
    <col min="58" max="58" width="16.88671875" style="269" bestFit="1" customWidth="1"/>
    <col min="59" max="60" width="15.6640625" style="269" bestFit="1" customWidth="1"/>
    <col min="61" max="61" width="16.88671875" style="269" bestFit="1" customWidth="1"/>
    <col min="62" max="63" width="15.6640625" style="269" bestFit="1" customWidth="1"/>
    <col min="64" max="64" width="14.5546875" style="269" bestFit="1" customWidth="1"/>
    <col min="65" max="67" width="15.6640625" style="269" bestFit="1" customWidth="1"/>
    <col min="68" max="68" width="16.88671875" style="269" bestFit="1" customWidth="1"/>
    <col min="69" max="69" width="18.6640625" style="269" bestFit="1" customWidth="1"/>
    <col min="70" max="71" width="16.88671875" style="269" bestFit="1" customWidth="1"/>
    <col min="72" max="80" width="16" style="269" customWidth="1"/>
    <col min="81" max="16384" width="9.109375" style="269"/>
  </cols>
  <sheetData>
    <row r="1" spans="1:80" x14ac:dyDescent="0.3">
      <c r="A1" s="269" t="s">
        <v>704</v>
      </c>
      <c r="B1" s="269" t="s">
        <v>567</v>
      </c>
      <c r="D1" s="269" t="s">
        <v>567</v>
      </c>
      <c r="E1" s="1002" t="s">
        <v>843</v>
      </c>
      <c r="F1" s="1002" t="s">
        <v>844</v>
      </c>
      <c r="G1" s="1002" t="s">
        <v>845</v>
      </c>
      <c r="H1" s="1002" t="s">
        <v>846</v>
      </c>
      <c r="I1" s="1002" t="s">
        <v>847</v>
      </c>
      <c r="J1" s="1002" t="s">
        <v>848</v>
      </c>
      <c r="K1" s="1002" t="s">
        <v>849</v>
      </c>
      <c r="L1" s="1002" t="s">
        <v>850</v>
      </c>
      <c r="M1" s="1002" t="s">
        <v>851</v>
      </c>
      <c r="N1" s="1002" t="s">
        <v>852</v>
      </c>
      <c r="O1" s="1002" t="s">
        <v>853</v>
      </c>
      <c r="P1" s="1002" t="s">
        <v>854</v>
      </c>
      <c r="Q1" s="1002" t="s">
        <v>855</v>
      </c>
      <c r="R1" s="1002" t="s">
        <v>856</v>
      </c>
      <c r="S1" s="1002" t="s">
        <v>857</v>
      </c>
      <c r="T1" s="1002" t="s">
        <v>858</v>
      </c>
      <c r="U1" s="1002" t="s">
        <v>859</v>
      </c>
      <c r="V1" s="1002" t="s">
        <v>860</v>
      </c>
      <c r="W1" s="1002" t="s">
        <v>861</v>
      </c>
      <c r="X1" s="1002" t="s">
        <v>862</v>
      </c>
      <c r="Y1" s="1002" t="s">
        <v>863</v>
      </c>
      <c r="Z1" s="1002" t="s">
        <v>864</v>
      </c>
      <c r="AA1" s="1002" t="s">
        <v>865</v>
      </c>
      <c r="AB1" s="1002" t="s">
        <v>866</v>
      </c>
      <c r="AC1" s="1002" t="s">
        <v>867</v>
      </c>
      <c r="AD1" s="1002" t="s">
        <v>868</v>
      </c>
      <c r="AE1" s="1002" t="s">
        <v>869</v>
      </c>
      <c r="AF1" s="1002" t="s">
        <v>870</v>
      </c>
      <c r="AG1" s="1002" t="s">
        <v>871</v>
      </c>
      <c r="AH1" s="1002" t="s">
        <v>872</v>
      </c>
      <c r="AI1" s="1002" t="s">
        <v>873</v>
      </c>
      <c r="AJ1" s="1002" t="s">
        <v>874</v>
      </c>
      <c r="AK1" s="1002" t="s">
        <v>875</v>
      </c>
      <c r="AL1" s="1002" t="s">
        <v>876</v>
      </c>
      <c r="AM1" s="1002" t="s">
        <v>877</v>
      </c>
      <c r="AN1" s="1002" t="s">
        <v>878</v>
      </c>
      <c r="AO1" s="1002" t="s">
        <v>879</v>
      </c>
      <c r="AP1" s="1002" t="s">
        <v>880</v>
      </c>
      <c r="AQ1" s="1002" t="s">
        <v>881</v>
      </c>
      <c r="AR1" s="1002" t="s">
        <v>882</v>
      </c>
      <c r="AS1" s="1002" t="s">
        <v>883</v>
      </c>
      <c r="AT1" s="1002" t="s">
        <v>884</v>
      </c>
      <c r="AU1" s="1002" t="s">
        <v>885</v>
      </c>
      <c r="AV1" s="1002" t="s">
        <v>886</v>
      </c>
      <c r="AW1" s="1002" t="s">
        <v>887</v>
      </c>
      <c r="AX1" s="1002" t="s">
        <v>888</v>
      </c>
      <c r="AY1" s="1002" t="s">
        <v>889</v>
      </c>
      <c r="AZ1" s="1002" t="s">
        <v>890</v>
      </c>
      <c r="BA1" s="1002" t="s">
        <v>891</v>
      </c>
      <c r="BB1" s="1002" t="s">
        <v>892</v>
      </c>
      <c r="BC1" s="1002" t="s">
        <v>893</v>
      </c>
      <c r="BD1" s="1002" t="s">
        <v>894</v>
      </c>
      <c r="BE1" s="1002" t="s">
        <v>895</v>
      </c>
      <c r="BF1" s="1002" t="s">
        <v>896</v>
      </c>
      <c r="BG1" s="1002" t="s">
        <v>897</v>
      </c>
      <c r="BH1" s="1002" t="s">
        <v>766</v>
      </c>
      <c r="BI1" s="1002" t="s">
        <v>898</v>
      </c>
      <c r="BJ1" s="1002" t="s">
        <v>899</v>
      </c>
      <c r="BK1" s="1002" t="s">
        <v>900</v>
      </c>
      <c r="BL1" s="1002" t="s">
        <v>901</v>
      </c>
      <c r="BM1" s="1002" t="s">
        <v>902</v>
      </c>
      <c r="BN1" s="1002" t="s">
        <v>903</v>
      </c>
      <c r="BO1" s="1002" t="s">
        <v>904</v>
      </c>
      <c r="BP1" s="1002" t="s">
        <v>905</v>
      </c>
      <c r="BQ1" s="1002" t="s">
        <v>906</v>
      </c>
      <c r="BR1" s="1002" t="s">
        <v>907</v>
      </c>
      <c r="BS1" s="1002" t="s">
        <v>908</v>
      </c>
      <c r="BT1" s="1002" t="s">
        <v>909</v>
      </c>
      <c r="BU1" s="1002" t="s">
        <v>910</v>
      </c>
      <c r="BV1" s="1002" t="s">
        <v>911</v>
      </c>
      <c r="BW1" s="1002" t="s">
        <v>912</v>
      </c>
      <c r="BX1" s="1002" t="s">
        <v>913</v>
      </c>
      <c r="BY1" s="1002" t="s">
        <v>914</v>
      </c>
      <c r="BZ1" s="1002" t="s">
        <v>915</v>
      </c>
      <c r="CA1" s="1002" t="s">
        <v>916</v>
      </c>
      <c r="CB1" s="1002" t="s">
        <v>917</v>
      </c>
    </row>
    <row r="2" spans="1:80" x14ac:dyDescent="0.3">
      <c r="A2" s="1002" t="s">
        <v>718</v>
      </c>
      <c r="B2" s="1002"/>
      <c r="C2" s="1002"/>
      <c r="D2" s="1002" t="s">
        <v>297</v>
      </c>
      <c r="E2" s="1002">
        <v>50476</v>
      </c>
      <c r="F2" s="1002">
        <v>50191</v>
      </c>
      <c r="G2" s="1002">
        <v>50192</v>
      </c>
      <c r="H2" s="1002">
        <v>50193</v>
      </c>
      <c r="I2" s="1002">
        <v>50194</v>
      </c>
      <c r="J2" s="1002">
        <v>50195</v>
      </c>
      <c r="K2" s="1002">
        <v>50196</v>
      </c>
      <c r="L2" s="1002">
        <v>50197</v>
      </c>
      <c r="M2" s="269">
        <v>50498</v>
      </c>
      <c r="N2" s="1002">
        <v>50198</v>
      </c>
      <c r="O2" s="269">
        <v>50199</v>
      </c>
      <c r="P2" s="269">
        <v>50200</v>
      </c>
      <c r="Q2" s="269">
        <v>50201</v>
      </c>
      <c r="R2" s="269">
        <v>50202</v>
      </c>
      <c r="S2" s="269">
        <v>50493</v>
      </c>
      <c r="T2" s="269">
        <v>50203</v>
      </c>
      <c r="U2" s="269">
        <v>50518</v>
      </c>
      <c r="V2" s="269">
        <v>50204</v>
      </c>
      <c r="W2" s="269">
        <v>50205</v>
      </c>
      <c r="X2" s="269">
        <v>50206</v>
      </c>
      <c r="Y2" s="269">
        <v>50207</v>
      </c>
      <c r="Z2" s="269">
        <v>50208</v>
      </c>
      <c r="AA2" s="269">
        <v>50209</v>
      </c>
      <c r="AB2" s="269">
        <v>50210</v>
      </c>
      <c r="AC2" s="269">
        <v>50519</v>
      </c>
      <c r="AD2" s="269">
        <v>50528</v>
      </c>
      <c r="AE2" s="269">
        <v>50211</v>
      </c>
      <c r="AF2" s="269">
        <v>50212</v>
      </c>
      <c r="AG2" s="269">
        <v>50213</v>
      </c>
      <c r="AH2" s="269">
        <v>50214</v>
      </c>
      <c r="AI2" s="269">
        <v>50215</v>
      </c>
      <c r="AJ2" s="269">
        <v>50216</v>
      </c>
      <c r="AK2" s="269">
        <v>50217</v>
      </c>
      <c r="AL2" s="269">
        <v>50218</v>
      </c>
      <c r="AM2" s="269">
        <v>50477</v>
      </c>
      <c r="AN2" s="269">
        <v>50520</v>
      </c>
      <c r="AO2" s="269">
        <v>50219</v>
      </c>
      <c r="AP2" s="269">
        <v>50220</v>
      </c>
      <c r="AQ2" s="269">
        <v>50536</v>
      </c>
      <c r="AR2" s="269">
        <v>50221</v>
      </c>
      <c r="AS2" s="269">
        <v>50222</v>
      </c>
      <c r="AT2" s="269">
        <v>50223</v>
      </c>
      <c r="AU2" s="269">
        <v>50224</v>
      </c>
      <c r="AV2" s="269">
        <v>50225</v>
      </c>
      <c r="AW2" s="269">
        <v>50226</v>
      </c>
      <c r="AX2" s="269">
        <v>50227</v>
      </c>
      <c r="AY2" s="269">
        <v>50455</v>
      </c>
      <c r="AZ2" s="269">
        <v>50229</v>
      </c>
      <c r="BA2" s="269">
        <v>50230</v>
      </c>
      <c r="BB2" s="269">
        <v>50231</v>
      </c>
      <c r="BC2" s="269">
        <v>50232</v>
      </c>
      <c r="BD2" s="269">
        <v>50233</v>
      </c>
      <c r="BE2" s="269">
        <v>50234</v>
      </c>
      <c r="BF2" s="269">
        <v>50235</v>
      </c>
      <c r="BG2" s="269">
        <v>50236</v>
      </c>
      <c r="BH2" s="269">
        <v>50237</v>
      </c>
      <c r="BI2" s="269">
        <v>50238</v>
      </c>
      <c r="BJ2" s="269">
        <v>50444</v>
      </c>
      <c r="BK2" s="269">
        <v>0</v>
      </c>
      <c r="BL2" s="269">
        <v>50240</v>
      </c>
      <c r="BM2" s="269">
        <v>50241</v>
      </c>
      <c r="BN2" s="269">
        <v>50521</v>
      </c>
      <c r="BO2" s="269">
        <v>50242</v>
      </c>
      <c r="BP2" s="269">
        <v>50244</v>
      </c>
      <c r="BQ2" s="269">
        <v>50243</v>
      </c>
      <c r="BR2" s="269">
        <v>50245</v>
      </c>
      <c r="BS2" s="269">
        <v>50522</v>
      </c>
      <c r="BT2" s="269">
        <v>50246</v>
      </c>
      <c r="BU2" s="269">
        <v>50247</v>
      </c>
      <c r="BV2" s="269">
        <v>50248</v>
      </c>
      <c r="BW2" s="269">
        <v>50249</v>
      </c>
      <c r="BX2" s="269">
        <v>50250</v>
      </c>
      <c r="BY2" s="269">
        <v>50251</v>
      </c>
      <c r="BZ2" s="269">
        <v>50252</v>
      </c>
      <c r="CA2" s="269">
        <v>50253</v>
      </c>
      <c r="CB2" s="269">
        <v>50454</v>
      </c>
    </row>
    <row r="3" spans="1:80" x14ac:dyDescent="0.3">
      <c r="A3" s="269">
        <v>4</v>
      </c>
      <c r="B3" s="1002">
        <v>4</v>
      </c>
      <c r="C3" s="269" t="s">
        <v>618</v>
      </c>
      <c r="D3" s="269" t="s">
        <v>298</v>
      </c>
      <c r="E3" s="1138">
        <v>69993</v>
      </c>
      <c r="F3" s="1138">
        <v>1049888</v>
      </c>
      <c r="G3" s="1138">
        <v>0</v>
      </c>
      <c r="H3" s="1138">
        <v>1966073</v>
      </c>
      <c r="I3" s="1138">
        <v>89427</v>
      </c>
      <c r="J3" s="1138">
        <v>15715</v>
      </c>
      <c r="K3" s="1138">
        <v>22605</v>
      </c>
      <c r="L3" s="1138">
        <v>22324</v>
      </c>
      <c r="M3" s="1138">
        <v>2984680</v>
      </c>
      <c r="N3" s="1138">
        <v>13408</v>
      </c>
      <c r="O3" s="1138">
        <v>28237</v>
      </c>
      <c r="P3" s="1138">
        <v>20981</v>
      </c>
      <c r="Q3" s="1138">
        <v>1721806</v>
      </c>
      <c r="R3" s="1138">
        <v>448864</v>
      </c>
      <c r="S3" s="1138">
        <v>70734</v>
      </c>
      <c r="T3" s="1138">
        <v>523354</v>
      </c>
      <c r="U3" s="1138">
        <v>0</v>
      </c>
      <c r="V3" s="1138">
        <v>1111260</v>
      </c>
      <c r="W3" s="1138">
        <v>335</v>
      </c>
      <c r="X3" s="1138">
        <v>460059</v>
      </c>
      <c r="Y3" s="1138">
        <v>1255274</v>
      </c>
      <c r="Z3" s="1138">
        <v>233584</v>
      </c>
      <c r="AA3" s="1138">
        <v>86474</v>
      </c>
      <c r="AB3" s="1138">
        <v>151717</v>
      </c>
      <c r="AC3" s="1138">
        <v>2926</v>
      </c>
      <c r="AD3" s="1138">
        <v>42306</v>
      </c>
      <c r="AE3" s="1138">
        <v>27506</v>
      </c>
      <c r="AF3" s="1138">
        <v>122030</v>
      </c>
      <c r="AG3" s="1138">
        <v>3246</v>
      </c>
      <c r="AH3" s="1138">
        <v>1263</v>
      </c>
      <c r="AI3" s="1138">
        <v>441</v>
      </c>
      <c r="AJ3" s="1138">
        <v>129596</v>
      </c>
      <c r="AK3" s="1138">
        <v>65111</v>
      </c>
      <c r="AL3" s="1138">
        <v>6141</v>
      </c>
      <c r="AM3" s="1138">
        <v>1477</v>
      </c>
      <c r="AN3" s="1138">
        <v>2306854</v>
      </c>
      <c r="AO3" s="1138">
        <v>472624</v>
      </c>
      <c r="AP3" s="1138">
        <v>5429</v>
      </c>
      <c r="AQ3" s="1138">
        <v>670493</v>
      </c>
      <c r="AR3" s="1138">
        <v>975870</v>
      </c>
      <c r="AS3" s="1138">
        <v>106799</v>
      </c>
      <c r="AT3" s="1138">
        <v>10452</v>
      </c>
      <c r="AU3" s="1138">
        <v>160414</v>
      </c>
      <c r="AV3" s="1138">
        <v>1389975</v>
      </c>
      <c r="AW3" s="1138">
        <v>44927</v>
      </c>
      <c r="AX3" s="1138">
        <v>30711</v>
      </c>
      <c r="AY3" s="1138">
        <v>502803</v>
      </c>
      <c r="AZ3" s="1138">
        <v>83921</v>
      </c>
      <c r="BA3" s="1138">
        <v>370146</v>
      </c>
      <c r="BB3" s="1138">
        <v>1462</v>
      </c>
      <c r="BC3" s="1138">
        <v>0</v>
      </c>
      <c r="BD3" s="1138">
        <v>0</v>
      </c>
      <c r="BE3" s="1138">
        <v>4263</v>
      </c>
      <c r="BF3" s="1138">
        <v>0</v>
      </c>
      <c r="BG3" s="1138">
        <v>13307</v>
      </c>
      <c r="BH3" s="1138">
        <v>2572</v>
      </c>
      <c r="BI3" s="1138">
        <v>44167</v>
      </c>
      <c r="BJ3" s="1138">
        <v>101845</v>
      </c>
      <c r="BK3" s="1138">
        <v>0</v>
      </c>
      <c r="BL3" s="1138">
        <v>58068</v>
      </c>
      <c r="BM3" s="1138">
        <v>120716</v>
      </c>
      <c r="BN3" s="1138">
        <v>0</v>
      </c>
      <c r="BO3" s="1138">
        <v>226820</v>
      </c>
      <c r="BP3" s="1138">
        <v>139931</v>
      </c>
      <c r="BQ3" s="1138">
        <v>9928</v>
      </c>
      <c r="BR3" s="1138">
        <v>45136</v>
      </c>
      <c r="BS3" s="1138">
        <v>65030</v>
      </c>
      <c r="BT3" s="1138">
        <v>1209583</v>
      </c>
      <c r="BU3" s="1138">
        <v>107291</v>
      </c>
      <c r="BV3" s="1138">
        <v>60633</v>
      </c>
      <c r="BW3" s="1138">
        <v>64410</v>
      </c>
      <c r="BX3" s="1138">
        <v>20826</v>
      </c>
      <c r="BY3" s="1138">
        <v>0</v>
      </c>
      <c r="BZ3" s="1138">
        <v>0</v>
      </c>
      <c r="CA3" s="1138">
        <v>1365280</v>
      </c>
      <c r="CB3" s="1138">
        <v>2997</v>
      </c>
    </row>
    <row r="4" spans="1:80" x14ac:dyDescent="0.3">
      <c r="A4" s="269">
        <v>5</v>
      </c>
      <c r="B4" s="1002">
        <v>5</v>
      </c>
      <c r="C4" s="269" t="s">
        <v>120</v>
      </c>
      <c r="D4" s="269" t="s">
        <v>299</v>
      </c>
      <c r="E4" s="1138">
        <v>0</v>
      </c>
      <c r="F4" s="1138">
        <v>157285</v>
      </c>
      <c r="G4" s="1138">
        <v>0</v>
      </c>
      <c r="H4" s="1138">
        <v>81959</v>
      </c>
      <c r="I4" s="1138">
        <v>0</v>
      </c>
      <c r="J4" s="1138">
        <v>0</v>
      </c>
      <c r="K4" s="1138">
        <v>315</v>
      </c>
      <c r="L4" s="1138">
        <v>20137</v>
      </c>
      <c r="M4" s="1138">
        <v>3872</v>
      </c>
      <c r="N4" s="1138">
        <v>0</v>
      </c>
      <c r="O4" s="1138">
        <v>2338</v>
      </c>
      <c r="P4" s="1138">
        <v>0</v>
      </c>
      <c r="Q4" s="1138">
        <v>0</v>
      </c>
      <c r="R4" s="1138">
        <v>0</v>
      </c>
      <c r="S4" s="1138">
        <v>0</v>
      </c>
      <c r="T4" s="1138">
        <v>0</v>
      </c>
      <c r="U4" s="1138">
        <v>0</v>
      </c>
      <c r="V4" s="1138">
        <v>1180</v>
      </c>
      <c r="W4" s="1138">
        <v>0</v>
      </c>
      <c r="X4" s="1138">
        <v>0</v>
      </c>
      <c r="Y4" s="1138">
        <v>5740</v>
      </c>
      <c r="Z4" s="1138">
        <v>0</v>
      </c>
      <c r="AA4" s="1138">
        <v>55</v>
      </c>
      <c r="AB4" s="1138">
        <v>0</v>
      </c>
      <c r="AC4" s="1138">
        <v>0</v>
      </c>
      <c r="AD4" s="1138">
        <v>0</v>
      </c>
      <c r="AE4" s="1138">
        <v>0</v>
      </c>
      <c r="AF4" s="1138">
        <v>0</v>
      </c>
      <c r="AG4" s="1138">
        <v>0</v>
      </c>
      <c r="AH4" s="1138">
        <v>0</v>
      </c>
      <c r="AI4" s="1138">
        <v>0</v>
      </c>
      <c r="AJ4" s="1138">
        <v>0</v>
      </c>
      <c r="AK4" s="1138">
        <v>28955</v>
      </c>
      <c r="AL4" s="1138">
        <v>0</v>
      </c>
      <c r="AM4" s="1138">
        <v>0</v>
      </c>
      <c r="AN4" s="1138">
        <v>0</v>
      </c>
      <c r="AO4" s="1138">
        <v>0</v>
      </c>
      <c r="AP4" s="1138">
        <v>0</v>
      </c>
      <c r="AQ4" s="1138">
        <v>0</v>
      </c>
      <c r="AR4" s="1138">
        <v>0</v>
      </c>
      <c r="AS4" s="1138">
        <v>0</v>
      </c>
      <c r="AT4" s="1138">
        <v>0</v>
      </c>
      <c r="AU4" s="1138">
        <v>3198</v>
      </c>
      <c r="AV4" s="1138">
        <v>2680</v>
      </c>
      <c r="AW4" s="1138">
        <v>0</v>
      </c>
      <c r="AX4" s="1138">
        <v>0</v>
      </c>
      <c r="AY4" s="1138">
        <v>0</v>
      </c>
      <c r="AZ4" s="1138">
        <v>0</v>
      </c>
      <c r="BA4" s="1138">
        <v>0</v>
      </c>
      <c r="BB4" s="1138">
        <v>0</v>
      </c>
      <c r="BC4" s="1138">
        <v>0</v>
      </c>
      <c r="BD4" s="1138">
        <v>0</v>
      </c>
      <c r="BE4" s="1138">
        <v>0</v>
      </c>
      <c r="BF4" s="1138">
        <v>0</v>
      </c>
      <c r="BG4" s="1138">
        <v>0</v>
      </c>
      <c r="BH4" s="1138">
        <v>0</v>
      </c>
      <c r="BI4" s="1138">
        <v>0</v>
      </c>
      <c r="BJ4" s="1138">
        <v>2059</v>
      </c>
      <c r="BK4" s="1138">
        <v>0</v>
      </c>
      <c r="BL4" s="1138">
        <v>148</v>
      </c>
      <c r="BM4" s="1138">
        <v>0</v>
      </c>
      <c r="BN4" s="1138">
        <v>0</v>
      </c>
      <c r="BO4" s="1138">
        <v>8068</v>
      </c>
      <c r="BP4" s="1138">
        <v>929</v>
      </c>
      <c r="BQ4" s="1138">
        <v>0</v>
      </c>
      <c r="BR4" s="1138">
        <v>0</v>
      </c>
      <c r="BS4" s="1138">
        <v>0</v>
      </c>
      <c r="BT4" s="1138">
        <v>0</v>
      </c>
      <c r="BU4" s="1138">
        <v>0</v>
      </c>
      <c r="BV4" s="1138">
        <v>0</v>
      </c>
      <c r="BW4" s="1138">
        <v>0</v>
      </c>
      <c r="BX4" s="1138">
        <v>0</v>
      </c>
      <c r="BY4" s="1138">
        <v>0</v>
      </c>
      <c r="BZ4" s="1138">
        <v>0</v>
      </c>
      <c r="CA4" s="1138">
        <v>91377</v>
      </c>
      <c r="CB4" s="1138">
        <v>0</v>
      </c>
    </row>
    <row r="5" spans="1:80" x14ac:dyDescent="0.3">
      <c r="A5" s="269">
        <v>6</v>
      </c>
      <c r="B5" s="1002">
        <v>6</v>
      </c>
      <c r="C5" s="269" t="s">
        <v>265</v>
      </c>
      <c r="D5" s="269" t="s">
        <v>300</v>
      </c>
      <c r="E5" s="1138">
        <v>0</v>
      </c>
      <c r="F5" s="1138">
        <v>602055</v>
      </c>
      <c r="G5" s="1138">
        <v>0</v>
      </c>
      <c r="H5" s="1138">
        <v>586607</v>
      </c>
      <c r="I5" s="1138">
        <v>0</v>
      </c>
      <c r="J5" s="1138">
        <v>0</v>
      </c>
      <c r="K5" s="1138">
        <v>0</v>
      </c>
      <c r="L5" s="1138">
        <v>0</v>
      </c>
      <c r="M5" s="1138">
        <v>0</v>
      </c>
      <c r="N5" s="1138">
        <v>0</v>
      </c>
      <c r="O5" s="1138">
        <v>0</v>
      </c>
      <c r="P5" s="1138">
        <v>0</v>
      </c>
      <c r="Q5" s="1138">
        <v>0</v>
      </c>
      <c r="R5" s="1138">
        <v>192529</v>
      </c>
      <c r="S5" s="1138">
        <v>0</v>
      </c>
      <c r="T5" s="1138">
        <v>0</v>
      </c>
      <c r="U5" s="1138">
        <v>0</v>
      </c>
      <c r="V5" s="1138">
        <v>477070</v>
      </c>
      <c r="W5" s="1138">
        <v>0</v>
      </c>
      <c r="X5" s="1138">
        <v>26863</v>
      </c>
      <c r="Y5" s="1138">
        <v>514104</v>
      </c>
      <c r="Z5" s="1138">
        <v>0</v>
      </c>
      <c r="AA5" s="1138">
        <v>0</v>
      </c>
      <c r="AB5" s="1138">
        <v>0</v>
      </c>
      <c r="AC5" s="1138">
        <v>0</v>
      </c>
      <c r="AD5" s="1138">
        <v>0</v>
      </c>
      <c r="AE5" s="1138">
        <v>0</v>
      </c>
      <c r="AF5" s="1138">
        <v>0</v>
      </c>
      <c r="AG5" s="1138">
        <v>0</v>
      </c>
      <c r="AH5" s="1138">
        <v>0</v>
      </c>
      <c r="AI5" s="1138">
        <v>0</v>
      </c>
      <c r="AJ5" s="1138">
        <v>0</v>
      </c>
      <c r="AK5" s="1138">
        <v>0</v>
      </c>
      <c r="AL5" s="1138">
        <v>0</v>
      </c>
      <c r="AM5" s="1138">
        <v>0</v>
      </c>
      <c r="AN5" s="1138">
        <v>0</v>
      </c>
      <c r="AO5" s="1138">
        <v>0</v>
      </c>
      <c r="AP5" s="1138">
        <v>0</v>
      </c>
      <c r="AQ5" s="1138">
        <v>0</v>
      </c>
      <c r="AR5" s="1138">
        <v>2120566</v>
      </c>
      <c r="AS5" s="1138">
        <v>0</v>
      </c>
      <c r="AT5" s="1138">
        <v>0</v>
      </c>
      <c r="AU5" s="1138">
        <v>0</v>
      </c>
      <c r="AV5" s="1138">
        <v>0</v>
      </c>
      <c r="AW5" s="1138">
        <v>0</v>
      </c>
      <c r="AX5" s="1138">
        <v>0</v>
      </c>
      <c r="AY5" s="1138">
        <v>16430</v>
      </c>
      <c r="AZ5" s="1138">
        <v>0</v>
      </c>
      <c r="BA5" s="1138">
        <v>0</v>
      </c>
      <c r="BB5" s="1138">
        <v>0</v>
      </c>
      <c r="BC5" s="1138">
        <v>0</v>
      </c>
      <c r="BD5" s="1138">
        <v>0</v>
      </c>
      <c r="BE5" s="1138">
        <v>0</v>
      </c>
      <c r="BF5" s="1138">
        <v>0</v>
      </c>
      <c r="BG5" s="1138">
        <v>0</v>
      </c>
      <c r="BH5" s="1138">
        <v>0</v>
      </c>
      <c r="BI5" s="1138">
        <v>0</v>
      </c>
      <c r="BJ5" s="1138">
        <v>13840</v>
      </c>
      <c r="BK5" s="1138">
        <v>0</v>
      </c>
      <c r="BL5" s="1138">
        <v>33831</v>
      </c>
      <c r="BM5" s="1138">
        <v>20126</v>
      </c>
      <c r="BN5" s="1138">
        <v>0</v>
      </c>
      <c r="BO5" s="1138">
        <v>0</v>
      </c>
      <c r="BP5" s="1138">
        <v>0</v>
      </c>
      <c r="BQ5" s="1138">
        <v>0</v>
      </c>
      <c r="BR5" s="1138">
        <v>0</v>
      </c>
      <c r="BS5" s="1138">
        <v>0</v>
      </c>
      <c r="BT5" s="1138">
        <v>0</v>
      </c>
      <c r="BU5" s="1138">
        <v>0</v>
      </c>
      <c r="BV5" s="1138">
        <v>0</v>
      </c>
      <c r="BW5" s="1138">
        <v>0</v>
      </c>
      <c r="BX5" s="1138">
        <v>270000</v>
      </c>
      <c r="BY5" s="1138">
        <v>0</v>
      </c>
      <c r="BZ5" s="1138">
        <v>0</v>
      </c>
      <c r="CA5" s="1138">
        <v>287374</v>
      </c>
      <c r="CB5" s="1138">
        <v>0</v>
      </c>
    </row>
    <row r="6" spans="1:80" x14ac:dyDescent="0.3">
      <c r="A6" s="269">
        <v>7</v>
      </c>
      <c r="B6" s="1002">
        <v>7</v>
      </c>
      <c r="C6" s="269" t="s">
        <v>202</v>
      </c>
      <c r="D6" s="269" t="s">
        <v>301</v>
      </c>
      <c r="E6" s="1138">
        <v>19537</v>
      </c>
      <c r="F6" s="1138">
        <v>640</v>
      </c>
      <c r="G6" s="1138">
        <v>0</v>
      </c>
      <c r="H6" s="1138">
        <v>2108944</v>
      </c>
      <c r="I6" s="1138">
        <v>56262</v>
      </c>
      <c r="J6" s="1138">
        <v>0</v>
      </c>
      <c r="K6" s="1138">
        <v>0</v>
      </c>
      <c r="L6" s="1138">
        <v>0</v>
      </c>
      <c r="M6" s="1138">
        <v>90473</v>
      </c>
      <c r="N6" s="1138">
        <v>0</v>
      </c>
      <c r="O6" s="1138">
        <v>0</v>
      </c>
      <c r="P6" s="1138">
        <v>0</v>
      </c>
      <c r="Q6" s="1138">
        <v>6044</v>
      </c>
      <c r="R6" s="1138">
        <v>162783</v>
      </c>
      <c r="S6" s="1138">
        <v>157950</v>
      </c>
      <c r="T6" s="1138">
        <v>48637</v>
      </c>
      <c r="U6" s="1138">
        <v>0</v>
      </c>
      <c r="V6" s="1138">
        <v>81568</v>
      </c>
      <c r="W6" s="1138">
        <v>0</v>
      </c>
      <c r="X6" s="1138">
        <v>39027</v>
      </c>
      <c r="Y6" s="1138">
        <v>28820</v>
      </c>
      <c r="Z6" s="1138">
        <v>0</v>
      </c>
      <c r="AA6" s="1138">
        <v>41381</v>
      </c>
      <c r="AB6" s="1138">
        <v>780</v>
      </c>
      <c r="AC6" s="1138">
        <v>3961</v>
      </c>
      <c r="AD6" s="1138">
        <v>0</v>
      </c>
      <c r="AE6" s="1138">
        <v>0</v>
      </c>
      <c r="AF6" s="1138">
        <v>0</v>
      </c>
      <c r="AG6" s="1138">
        <v>0</v>
      </c>
      <c r="AH6" s="1138">
        <v>0</v>
      </c>
      <c r="AI6" s="1138">
        <v>0</v>
      </c>
      <c r="AJ6" s="1138">
        <v>0</v>
      </c>
      <c r="AK6" s="1138">
        <v>34386</v>
      </c>
      <c r="AL6" s="1138">
        <v>660</v>
      </c>
      <c r="AM6" s="1138">
        <v>0</v>
      </c>
      <c r="AN6" s="1138">
        <v>0</v>
      </c>
      <c r="AO6" s="1138">
        <v>0</v>
      </c>
      <c r="AP6" s="1138">
        <v>0</v>
      </c>
      <c r="AQ6" s="1138">
        <v>0</v>
      </c>
      <c r="AR6" s="1138">
        <v>3789</v>
      </c>
      <c r="AS6" s="1138">
        <v>4392</v>
      </c>
      <c r="AT6" s="1138">
        <v>0</v>
      </c>
      <c r="AU6" s="1138">
        <v>16856</v>
      </c>
      <c r="AV6" s="1138">
        <v>61185</v>
      </c>
      <c r="AW6" s="1138">
        <v>0</v>
      </c>
      <c r="AX6" s="1138">
        <v>94128</v>
      </c>
      <c r="AY6" s="1138">
        <v>149570</v>
      </c>
      <c r="AZ6" s="1138">
        <v>6959</v>
      </c>
      <c r="BA6" s="1138">
        <v>0</v>
      </c>
      <c r="BB6" s="1138">
        <v>0</v>
      </c>
      <c r="BC6" s="1138">
        <v>0</v>
      </c>
      <c r="BD6" s="1138">
        <v>0</v>
      </c>
      <c r="BE6" s="1138">
        <v>0</v>
      </c>
      <c r="BF6" s="1138">
        <v>0</v>
      </c>
      <c r="BG6" s="1138">
        <v>0</v>
      </c>
      <c r="BH6" s="1138">
        <v>0</v>
      </c>
      <c r="BI6" s="1138">
        <v>0</v>
      </c>
      <c r="BJ6" s="1138">
        <v>7799</v>
      </c>
      <c r="BK6" s="1138">
        <v>0</v>
      </c>
      <c r="BL6" s="1138">
        <v>4155</v>
      </c>
      <c r="BM6" s="1138">
        <v>9213</v>
      </c>
      <c r="BN6" s="1138">
        <v>0</v>
      </c>
      <c r="BO6" s="1138">
        <v>44872</v>
      </c>
      <c r="BP6" s="1138">
        <v>0</v>
      </c>
      <c r="BQ6" s="1138">
        <v>4000</v>
      </c>
      <c r="BR6" s="1138">
        <v>0</v>
      </c>
      <c r="BS6" s="1138">
        <v>900</v>
      </c>
      <c r="BT6" s="1138">
        <v>113950</v>
      </c>
      <c r="BU6" s="1138">
        <v>0</v>
      </c>
      <c r="BV6" s="1138">
        <v>0</v>
      </c>
      <c r="BW6" s="1138">
        <v>0</v>
      </c>
      <c r="BX6" s="1138">
        <v>0</v>
      </c>
      <c r="BY6" s="1138">
        <v>0</v>
      </c>
      <c r="BZ6" s="1138">
        <v>0</v>
      </c>
      <c r="CA6" s="1138">
        <v>46552</v>
      </c>
      <c r="CB6" s="1138">
        <v>0</v>
      </c>
    </row>
    <row r="7" spans="1:80" x14ac:dyDescent="0.3">
      <c r="A7" s="269">
        <v>9</v>
      </c>
      <c r="B7" s="1002">
        <v>9</v>
      </c>
      <c r="C7" s="269" t="s">
        <v>204</v>
      </c>
      <c r="D7" s="269" t="s">
        <v>302</v>
      </c>
      <c r="E7" s="1138">
        <v>398068</v>
      </c>
      <c r="F7" s="1138">
        <v>20804506</v>
      </c>
      <c r="G7" s="1138">
        <v>0</v>
      </c>
      <c r="H7" s="1138">
        <v>35744634</v>
      </c>
      <c r="I7" s="1138">
        <v>4675021</v>
      </c>
      <c r="J7" s="1138">
        <v>552427</v>
      </c>
      <c r="K7" s="1138">
        <v>2734033</v>
      </c>
      <c r="L7" s="1138">
        <v>1416241</v>
      </c>
      <c r="M7" s="1138">
        <v>22423915</v>
      </c>
      <c r="N7" s="1138">
        <v>232626</v>
      </c>
      <c r="O7" s="1138">
        <v>667459</v>
      </c>
      <c r="P7" s="1138">
        <v>693974</v>
      </c>
      <c r="Q7" s="1138">
        <v>16623471</v>
      </c>
      <c r="R7" s="1138">
        <v>19045759</v>
      </c>
      <c r="S7" s="1138">
        <v>3227937</v>
      </c>
      <c r="T7" s="1138">
        <v>8876015</v>
      </c>
      <c r="U7" s="1138">
        <v>0</v>
      </c>
      <c r="V7" s="1138">
        <v>7191115</v>
      </c>
      <c r="W7" s="1138">
        <v>272605</v>
      </c>
      <c r="X7" s="1138">
        <v>11818213</v>
      </c>
      <c r="Y7" s="1138">
        <v>7837967</v>
      </c>
      <c r="Z7" s="1138">
        <v>4588345</v>
      </c>
      <c r="AA7" s="1138">
        <v>2021246</v>
      </c>
      <c r="AB7" s="1138">
        <v>3597509</v>
      </c>
      <c r="AC7" s="1138">
        <v>1259447</v>
      </c>
      <c r="AD7" s="1138">
        <v>261098</v>
      </c>
      <c r="AE7" s="1138">
        <v>1401245</v>
      </c>
      <c r="AF7" s="1138">
        <v>1674095</v>
      </c>
      <c r="AG7" s="1138">
        <v>152941</v>
      </c>
      <c r="AH7" s="1138">
        <v>85536</v>
      </c>
      <c r="AI7" s="1138">
        <v>305412</v>
      </c>
      <c r="AJ7" s="1138">
        <v>1755422</v>
      </c>
      <c r="AK7" s="1138">
        <v>2939009</v>
      </c>
      <c r="AL7" s="1138">
        <v>260463</v>
      </c>
      <c r="AM7" s="1138">
        <v>113794</v>
      </c>
      <c r="AN7" s="1138">
        <v>12730118</v>
      </c>
      <c r="AO7" s="1138">
        <v>11361196</v>
      </c>
      <c r="AP7" s="1138">
        <v>595125</v>
      </c>
      <c r="AQ7" s="1138">
        <v>7113966</v>
      </c>
      <c r="AR7" s="1138">
        <v>12319411</v>
      </c>
      <c r="AS7" s="1138">
        <v>2890568</v>
      </c>
      <c r="AT7" s="1138">
        <v>426579</v>
      </c>
      <c r="AU7" s="1138">
        <v>2997768</v>
      </c>
      <c r="AV7" s="1138">
        <v>5200341</v>
      </c>
      <c r="AW7" s="1138">
        <v>113220</v>
      </c>
      <c r="AX7" s="1138">
        <v>367757</v>
      </c>
      <c r="AY7" s="1138">
        <v>3033528</v>
      </c>
      <c r="AZ7" s="1138">
        <v>2690095</v>
      </c>
      <c r="BA7" s="1138">
        <v>2221405</v>
      </c>
      <c r="BB7" s="1138">
        <v>91000</v>
      </c>
      <c r="BC7" s="1138">
        <v>0</v>
      </c>
      <c r="BD7" s="1138">
        <v>0</v>
      </c>
      <c r="BE7" s="1138">
        <v>379655</v>
      </c>
      <c r="BF7" s="1138">
        <v>0</v>
      </c>
      <c r="BG7" s="1138">
        <v>496523</v>
      </c>
      <c r="BH7" s="1138">
        <v>159015</v>
      </c>
      <c r="BI7" s="1138">
        <v>2750974</v>
      </c>
      <c r="BJ7" s="1138">
        <v>3192944</v>
      </c>
      <c r="BK7" s="1138">
        <v>0</v>
      </c>
      <c r="BL7" s="1138">
        <v>2917890</v>
      </c>
      <c r="BM7" s="1138">
        <v>5911354</v>
      </c>
      <c r="BN7" s="1138">
        <v>131566</v>
      </c>
      <c r="BO7" s="1138">
        <v>3934495</v>
      </c>
      <c r="BP7" s="1138">
        <v>3167394</v>
      </c>
      <c r="BQ7" s="1138">
        <v>1676083</v>
      </c>
      <c r="BR7" s="1138">
        <v>1479879</v>
      </c>
      <c r="BS7" s="1138">
        <v>1616016</v>
      </c>
      <c r="BT7" s="1138">
        <v>11884785</v>
      </c>
      <c r="BU7" s="1138">
        <v>2362996</v>
      </c>
      <c r="BV7" s="1138">
        <v>1749656</v>
      </c>
      <c r="BW7" s="1138">
        <v>1001625</v>
      </c>
      <c r="BX7" s="1138">
        <v>1269117</v>
      </c>
      <c r="BY7" s="1138">
        <v>177489</v>
      </c>
      <c r="BZ7" s="1138">
        <v>209352</v>
      </c>
      <c r="CA7" s="1138">
        <v>13391694</v>
      </c>
      <c r="CB7" s="1138">
        <v>161839</v>
      </c>
    </row>
    <row r="8" spans="1:80" x14ac:dyDescent="0.3">
      <c r="A8" s="269">
        <v>11</v>
      </c>
      <c r="B8" s="1002">
        <v>11</v>
      </c>
      <c r="C8" s="269" t="s">
        <v>203</v>
      </c>
      <c r="D8" s="269" t="s">
        <v>303</v>
      </c>
      <c r="E8" s="1138">
        <v>0</v>
      </c>
      <c r="F8" s="1138">
        <v>2461264</v>
      </c>
      <c r="G8" s="1138">
        <v>0</v>
      </c>
      <c r="H8" s="1138">
        <v>506221</v>
      </c>
      <c r="I8" s="1138">
        <v>315997</v>
      </c>
      <c r="J8" s="1138">
        <v>111447</v>
      </c>
      <c r="K8" s="1138">
        <v>2829</v>
      </c>
      <c r="L8" s="1138">
        <v>36363</v>
      </c>
      <c r="M8" s="1138">
        <v>1193266</v>
      </c>
      <c r="N8" s="1138">
        <v>32537</v>
      </c>
      <c r="O8" s="1138">
        <v>148481</v>
      </c>
      <c r="P8" s="1138">
        <v>126702</v>
      </c>
      <c r="Q8" s="1138">
        <v>0</v>
      </c>
      <c r="R8" s="1138">
        <v>38153</v>
      </c>
      <c r="S8" s="1138">
        <v>610</v>
      </c>
      <c r="T8" s="1138">
        <v>166797</v>
      </c>
      <c r="U8" s="1138">
        <v>0</v>
      </c>
      <c r="V8" s="1138">
        <v>0</v>
      </c>
      <c r="W8" s="1138">
        <v>102379</v>
      </c>
      <c r="X8" s="1138">
        <v>202805</v>
      </c>
      <c r="Y8" s="1138">
        <v>615060</v>
      </c>
      <c r="Z8" s="1138">
        <v>232604</v>
      </c>
      <c r="AA8" s="1138">
        <v>279057</v>
      </c>
      <c r="AB8" s="1138">
        <v>0</v>
      </c>
      <c r="AC8" s="1138">
        <v>150429</v>
      </c>
      <c r="AD8" s="1138">
        <v>5</v>
      </c>
      <c r="AE8" s="1138">
        <v>192527</v>
      </c>
      <c r="AF8" s="1138">
        <v>504027</v>
      </c>
      <c r="AG8" s="1138">
        <v>14029</v>
      </c>
      <c r="AH8" s="1138">
        <v>18433</v>
      </c>
      <c r="AI8" s="1138">
        <v>157407</v>
      </c>
      <c r="AJ8" s="1138">
        <v>0</v>
      </c>
      <c r="AK8" s="1138">
        <v>0</v>
      </c>
      <c r="AL8" s="1138">
        <v>25590</v>
      </c>
      <c r="AM8" s="1138">
        <v>0</v>
      </c>
      <c r="AN8" s="1138">
        <v>484988</v>
      </c>
      <c r="AO8" s="1138">
        <v>0</v>
      </c>
      <c r="AP8" s="1138">
        <v>71299</v>
      </c>
      <c r="AQ8" s="1138">
        <v>531517</v>
      </c>
      <c r="AR8" s="1138">
        <v>146609</v>
      </c>
      <c r="AS8" s="1138">
        <v>81772</v>
      </c>
      <c r="AT8" s="1138">
        <v>22368</v>
      </c>
      <c r="AU8" s="1138">
        <v>118705</v>
      </c>
      <c r="AV8" s="1138">
        <v>440115</v>
      </c>
      <c r="AW8" s="1138">
        <v>1218</v>
      </c>
      <c r="AX8" s="1138">
        <v>79806</v>
      </c>
      <c r="AY8" s="1138">
        <v>57684</v>
      </c>
      <c r="AZ8" s="1138">
        <v>657747</v>
      </c>
      <c r="BA8" s="1138">
        <v>47146</v>
      </c>
      <c r="BB8" s="1138">
        <v>1276</v>
      </c>
      <c r="BC8" s="1138">
        <v>0</v>
      </c>
      <c r="BD8" s="1138">
        <v>0</v>
      </c>
      <c r="BE8" s="1138">
        <v>12833</v>
      </c>
      <c r="BF8" s="1138">
        <v>0</v>
      </c>
      <c r="BG8" s="1138">
        <v>73618</v>
      </c>
      <c r="BH8" s="1138">
        <v>18670</v>
      </c>
      <c r="BI8" s="1138">
        <v>0</v>
      </c>
      <c r="BJ8" s="1138">
        <v>125587</v>
      </c>
      <c r="BK8" s="1138">
        <v>0</v>
      </c>
      <c r="BL8" s="1138">
        <v>146439</v>
      </c>
      <c r="BM8" s="1138">
        <v>28722</v>
      </c>
      <c r="BN8" s="1138">
        <v>0</v>
      </c>
      <c r="BO8" s="1138">
        <v>189534</v>
      </c>
      <c r="BP8" s="1138">
        <v>111153</v>
      </c>
      <c r="BQ8" s="1138">
        <v>126729</v>
      </c>
      <c r="BR8" s="1138">
        <v>164145</v>
      </c>
      <c r="BS8" s="1138">
        <v>0</v>
      </c>
      <c r="BT8" s="1138">
        <v>598197</v>
      </c>
      <c r="BU8" s="1138">
        <v>92639</v>
      </c>
      <c r="BV8" s="1138">
        <v>76021</v>
      </c>
      <c r="BW8" s="1138">
        <v>33895</v>
      </c>
      <c r="BX8" s="1138">
        <v>56018</v>
      </c>
      <c r="BY8" s="1138">
        <v>19797</v>
      </c>
      <c r="BZ8" s="1138">
        <v>0</v>
      </c>
      <c r="CA8" s="1138">
        <v>0</v>
      </c>
      <c r="CB8" s="1138">
        <v>35194</v>
      </c>
    </row>
    <row r="9" spans="1:80" x14ac:dyDescent="0.3">
      <c r="B9" s="1002">
        <v>12</v>
      </c>
      <c r="C9" s="269" t="s">
        <v>619</v>
      </c>
      <c r="D9" s="269" t="s">
        <v>304</v>
      </c>
      <c r="E9" s="1138"/>
      <c r="F9" s="1138"/>
      <c r="G9" s="1138"/>
      <c r="H9" s="1138"/>
      <c r="I9" s="1138"/>
      <c r="J9" s="1138"/>
      <c r="K9" s="1138"/>
      <c r="L9" s="1138"/>
      <c r="M9" s="1138"/>
      <c r="N9" s="1138"/>
      <c r="O9" s="1138"/>
      <c r="P9" s="1138"/>
      <c r="Q9" s="1138"/>
      <c r="R9" s="1138"/>
      <c r="S9" s="1138"/>
      <c r="T9" s="1138"/>
      <c r="U9" s="1138"/>
      <c r="V9" s="1138"/>
      <c r="W9" s="1138"/>
      <c r="X9" s="1138"/>
      <c r="Y9" s="1138"/>
      <c r="Z9" s="1138"/>
      <c r="AA9" s="1138"/>
      <c r="AB9" s="1138"/>
      <c r="AC9" s="1138"/>
      <c r="AD9" s="1138"/>
      <c r="AE9" s="1138"/>
      <c r="AF9" s="1138"/>
      <c r="AG9" s="1138"/>
      <c r="AH9" s="1138"/>
      <c r="AI9" s="1138"/>
      <c r="AJ9" s="1138"/>
      <c r="AK9" s="1138"/>
      <c r="AL9" s="1138"/>
      <c r="AM9" s="1138"/>
      <c r="AN9" s="1138"/>
      <c r="AO9" s="1138"/>
      <c r="AP9" s="1138"/>
      <c r="AQ9" s="1138"/>
      <c r="AR9" s="1138"/>
      <c r="AS9" s="1138"/>
      <c r="AT9" s="1138"/>
      <c r="AU9" s="1138"/>
      <c r="AV9" s="1138"/>
      <c r="AW9" s="1138"/>
      <c r="AX9" s="1138"/>
      <c r="AY9" s="1138"/>
      <c r="AZ9" s="1138"/>
      <c r="BA9" s="1138"/>
      <c r="BB9" s="1138"/>
      <c r="BC9" s="1138"/>
      <c r="BD9" s="1138"/>
      <c r="BE9" s="1138"/>
      <c r="BF9" s="1138"/>
      <c r="BG9" s="1138"/>
      <c r="BH9" s="1138"/>
      <c r="BI9" s="1138"/>
      <c r="BJ9" s="1138"/>
      <c r="BK9" s="1138"/>
      <c r="BL9" s="1138"/>
      <c r="BM9" s="1138"/>
      <c r="BN9" s="1138"/>
      <c r="BO9" s="1138"/>
      <c r="BP9" s="1138"/>
      <c r="BQ9" s="1138"/>
      <c r="BR9" s="1138"/>
      <c r="BS9" s="1138"/>
      <c r="BT9" s="1138"/>
      <c r="BU9" s="1138"/>
      <c r="BV9" s="1138"/>
      <c r="BW9" s="1138"/>
      <c r="BX9" s="1138"/>
      <c r="BY9" s="1138"/>
      <c r="BZ9" s="1138"/>
      <c r="CA9" s="1138"/>
      <c r="CB9" s="1138"/>
    </row>
    <row r="10" spans="1:80" x14ac:dyDescent="0.3">
      <c r="B10" s="1002">
        <v>13</v>
      </c>
      <c r="C10" s="269" t="s">
        <v>620</v>
      </c>
      <c r="D10" s="269" t="s">
        <v>305</v>
      </c>
      <c r="E10" s="1138"/>
      <c r="F10" s="1138"/>
      <c r="G10" s="1138"/>
      <c r="H10" s="1138"/>
      <c r="I10" s="1138"/>
      <c r="J10" s="1138"/>
      <c r="K10" s="1138"/>
      <c r="L10" s="1138"/>
      <c r="M10" s="1138"/>
      <c r="N10" s="1138"/>
      <c r="O10" s="1138"/>
      <c r="P10" s="1138"/>
      <c r="Q10" s="1138"/>
      <c r="R10" s="1138"/>
      <c r="S10" s="1138"/>
      <c r="T10" s="1138"/>
      <c r="U10" s="1138"/>
      <c r="V10" s="1138"/>
      <c r="W10" s="1138"/>
      <c r="X10" s="1138"/>
      <c r="Y10" s="1138"/>
      <c r="Z10" s="1138"/>
      <c r="AA10" s="1138"/>
      <c r="AB10" s="1138"/>
      <c r="AC10" s="1138"/>
      <c r="AD10" s="1138"/>
      <c r="AE10" s="1138"/>
      <c r="AF10" s="1138"/>
      <c r="AG10" s="1138"/>
      <c r="AH10" s="1138"/>
      <c r="AI10" s="1138"/>
      <c r="AJ10" s="1138"/>
      <c r="AK10" s="1138"/>
      <c r="AL10" s="1138"/>
      <c r="AM10" s="1138"/>
      <c r="AN10" s="1138"/>
      <c r="AO10" s="1138"/>
      <c r="AP10" s="1138"/>
      <c r="AQ10" s="1138"/>
      <c r="AR10" s="1138"/>
      <c r="AS10" s="1138"/>
      <c r="AT10" s="1138"/>
      <c r="AU10" s="1138"/>
      <c r="AV10" s="1138"/>
      <c r="AW10" s="1138"/>
      <c r="AX10" s="1138"/>
      <c r="AY10" s="1138"/>
      <c r="AZ10" s="1138"/>
      <c r="BA10" s="1138"/>
      <c r="BB10" s="1138"/>
      <c r="BC10" s="1138"/>
      <c r="BD10" s="1138"/>
      <c r="BE10" s="1138"/>
      <c r="BF10" s="1138"/>
      <c r="BG10" s="1138"/>
      <c r="BH10" s="1138"/>
      <c r="BI10" s="1138"/>
      <c r="BJ10" s="1138"/>
      <c r="BK10" s="1138"/>
      <c r="BL10" s="1138"/>
      <c r="BM10" s="1138"/>
      <c r="BN10" s="1138"/>
      <c r="BO10" s="1138"/>
      <c r="BP10" s="1138"/>
      <c r="BQ10" s="1138"/>
      <c r="BR10" s="1138"/>
      <c r="BS10" s="1138"/>
      <c r="BT10" s="1138"/>
      <c r="BU10" s="1138"/>
      <c r="BV10" s="1138"/>
      <c r="BW10" s="1138"/>
      <c r="BX10" s="1138"/>
      <c r="BY10" s="1138"/>
      <c r="BZ10" s="1138"/>
      <c r="CA10" s="1138"/>
      <c r="CB10" s="1138"/>
    </row>
    <row r="11" spans="1:80" x14ac:dyDescent="0.3">
      <c r="B11" s="1002">
        <v>14</v>
      </c>
      <c r="C11" s="269" t="s">
        <v>306</v>
      </c>
      <c r="D11" s="269" t="s">
        <v>307</v>
      </c>
      <c r="E11" s="1138"/>
      <c r="F11" s="1138"/>
      <c r="G11" s="1138"/>
      <c r="H11" s="1138"/>
      <c r="I11" s="1138"/>
      <c r="J11" s="1138"/>
      <c r="K11" s="1138"/>
      <c r="L11" s="1138"/>
      <c r="M11" s="1138"/>
      <c r="N11" s="1138"/>
      <c r="O11" s="1138"/>
      <c r="P11" s="1138"/>
      <c r="Q11" s="1138"/>
      <c r="R11" s="1138"/>
      <c r="S11" s="1138"/>
      <c r="T11" s="1138"/>
      <c r="U11" s="1138"/>
      <c r="V11" s="1138"/>
      <c r="W11" s="1138"/>
      <c r="X11" s="1138"/>
      <c r="Y11" s="1138"/>
      <c r="Z11" s="1138"/>
      <c r="AA11" s="1138"/>
      <c r="AB11" s="1138"/>
      <c r="AC11" s="1138"/>
      <c r="AD11" s="1138"/>
      <c r="AE11" s="1138"/>
      <c r="AF11" s="1138"/>
      <c r="AG11" s="1138"/>
      <c r="AH11" s="1138"/>
      <c r="AI11" s="1138"/>
      <c r="AJ11" s="1138"/>
      <c r="AK11" s="1138"/>
      <c r="AL11" s="1138"/>
      <c r="AM11" s="1138"/>
      <c r="AN11" s="1138"/>
      <c r="AO11" s="1138"/>
      <c r="AP11" s="1138"/>
      <c r="AQ11" s="1138"/>
      <c r="AR11" s="1138"/>
      <c r="AS11" s="1138"/>
      <c r="AT11" s="1138"/>
      <c r="AU11" s="1138"/>
      <c r="AV11" s="1138"/>
      <c r="AW11" s="1138"/>
      <c r="AX11" s="1138"/>
      <c r="AY11" s="1138"/>
      <c r="AZ11" s="1138"/>
      <c r="BA11" s="1138"/>
      <c r="BB11" s="1138"/>
      <c r="BC11" s="1138"/>
      <c r="BD11" s="1138"/>
      <c r="BE11" s="1138"/>
      <c r="BF11" s="1138"/>
      <c r="BG11" s="1138"/>
      <c r="BH11" s="1138"/>
      <c r="BI11" s="1138"/>
      <c r="BJ11" s="1138"/>
      <c r="BK11" s="1138"/>
      <c r="BL11" s="1138"/>
      <c r="BM11" s="1138"/>
      <c r="BN11" s="1138"/>
      <c r="BO11" s="1138"/>
      <c r="BP11" s="1138"/>
      <c r="BQ11" s="1138"/>
      <c r="BR11" s="1138"/>
      <c r="BS11" s="1138"/>
      <c r="BT11" s="1138"/>
      <c r="BU11" s="1138"/>
      <c r="BV11" s="1138"/>
      <c r="BW11" s="1138"/>
      <c r="BX11" s="1138"/>
      <c r="BY11" s="1138"/>
      <c r="BZ11" s="1138"/>
      <c r="CA11" s="1138"/>
      <c r="CB11" s="1138"/>
    </row>
    <row r="12" spans="1:80" x14ac:dyDescent="0.3">
      <c r="A12" s="269">
        <v>16</v>
      </c>
      <c r="B12" s="1002">
        <v>16</v>
      </c>
      <c r="C12" s="269" t="s">
        <v>206</v>
      </c>
      <c r="D12" s="269" t="s">
        <v>308</v>
      </c>
      <c r="E12" s="1138">
        <v>1946297</v>
      </c>
      <c r="F12" s="1138">
        <v>14210505</v>
      </c>
      <c r="G12" s="1138">
        <v>0</v>
      </c>
      <c r="H12" s="1138">
        <v>47021486</v>
      </c>
      <c r="I12" s="1138">
        <v>4771476</v>
      </c>
      <c r="J12" s="1138">
        <v>271790</v>
      </c>
      <c r="K12" s="1138">
        <v>1368135</v>
      </c>
      <c r="L12" s="1138">
        <v>2478992</v>
      </c>
      <c r="M12" s="1138">
        <v>48489671</v>
      </c>
      <c r="N12" s="1138">
        <v>100298</v>
      </c>
      <c r="O12" s="1138">
        <v>869727</v>
      </c>
      <c r="P12" s="1138">
        <v>1641285</v>
      </c>
      <c r="Q12" s="1138">
        <v>32039236</v>
      </c>
      <c r="R12" s="1138">
        <v>18847872</v>
      </c>
      <c r="S12" s="1138">
        <v>6398081</v>
      </c>
      <c r="T12" s="1138">
        <v>14808587</v>
      </c>
      <c r="U12" s="1138">
        <v>0</v>
      </c>
      <c r="V12" s="1138">
        <v>19825628</v>
      </c>
      <c r="W12" s="1138">
        <v>29030</v>
      </c>
      <c r="X12" s="1138">
        <v>10594870</v>
      </c>
      <c r="Y12" s="1138">
        <v>14970712</v>
      </c>
      <c r="Z12" s="1138">
        <v>6300380</v>
      </c>
      <c r="AA12" s="1138">
        <v>1937658</v>
      </c>
      <c r="AB12" s="1138">
        <v>5634976</v>
      </c>
      <c r="AC12" s="1138">
        <v>1272140</v>
      </c>
      <c r="AD12" s="1138">
        <v>403033</v>
      </c>
      <c r="AE12" s="1138">
        <v>1605037</v>
      </c>
      <c r="AF12" s="1138">
        <v>3360207</v>
      </c>
      <c r="AG12" s="1138">
        <v>151808</v>
      </c>
      <c r="AH12" s="1138">
        <v>48997</v>
      </c>
      <c r="AI12" s="1138">
        <v>103612</v>
      </c>
      <c r="AJ12" s="1138">
        <v>2722245</v>
      </c>
      <c r="AK12" s="1138">
        <v>7227688</v>
      </c>
      <c r="AL12" s="1138">
        <v>327697</v>
      </c>
      <c r="AM12" s="1138">
        <v>28174</v>
      </c>
      <c r="AN12" s="1138">
        <v>19703610</v>
      </c>
      <c r="AO12" s="1138">
        <v>18370034</v>
      </c>
      <c r="AP12" s="1138">
        <v>490301</v>
      </c>
      <c r="AQ12" s="1138">
        <v>4738137</v>
      </c>
      <c r="AR12" s="1138">
        <v>21380084</v>
      </c>
      <c r="AS12" s="1138">
        <v>2767419</v>
      </c>
      <c r="AT12" s="1138">
        <v>664491</v>
      </c>
      <c r="AU12" s="1138">
        <v>4587021</v>
      </c>
      <c r="AV12" s="1138">
        <v>11162766</v>
      </c>
      <c r="AW12" s="1138">
        <v>88359</v>
      </c>
      <c r="AX12" s="1138">
        <v>513640</v>
      </c>
      <c r="AY12" s="1138">
        <v>3294919</v>
      </c>
      <c r="AZ12" s="1138">
        <v>3906844</v>
      </c>
      <c r="BA12" s="1138">
        <v>3328553</v>
      </c>
      <c r="BB12" s="1138">
        <v>88635</v>
      </c>
      <c r="BC12" s="1138">
        <v>0</v>
      </c>
      <c r="BD12" s="1138">
        <v>0</v>
      </c>
      <c r="BE12" s="1138">
        <v>89127</v>
      </c>
      <c r="BF12" s="1138">
        <v>0</v>
      </c>
      <c r="BG12" s="1138">
        <v>297939</v>
      </c>
      <c r="BH12" s="1138">
        <v>68220</v>
      </c>
      <c r="BI12" s="1138">
        <v>3071011</v>
      </c>
      <c r="BJ12" s="1138">
        <v>2754816</v>
      </c>
      <c r="BK12" s="1138">
        <v>0</v>
      </c>
      <c r="BL12" s="1138">
        <v>8709337</v>
      </c>
      <c r="BM12" s="1138">
        <v>4518411</v>
      </c>
      <c r="BN12" s="1138">
        <v>48783</v>
      </c>
      <c r="BO12" s="1138">
        <v>6567808</v>
      </c>
      <c r="BP12" s="1138">
        <v>2056622</v>
      </c>
      <c r="BQ12" s="1138">
        <v>931969</v>
      </c>
      <c r="BR12" s="1138">
        <v>1911552</v>
      </c>
      <c r="BS12" s="1138">
        <v>1336578</v>
      </c>
      <c r="BT12" s="1138">
        <v>22332395</v>
      </c>
      <c r="BU12" s="1138">
        <v>2554974</v>
      </c>
      <c r="BV12" s="1138">
        <v>2840620</v>
      </c>
      <c r="BW12" s="1138">
        <v>1951065</v>
      </c>
      <c r="BX12" s="1138">
        <v>940019</v>
      </c>
      <c r="BY12" s="1138">
        <v>38927</v>
      </c>
      <c r="BZ12" s="1138">
        <v>47816</v>
      </c>
      <c r="CA12" s="1138">
        <v>18130259</v>
      </c>
      <c r="CB12" s="1138">
        <v>123864</v>
      </c>
    </row>
    <row r="13" spans="1:80" x14ac:dyDescent="0.3">
      <c r="A13" s="269">
        <v>17</v>
      </c>
      <c r="B13" s="1002">
        <v>17</v>
      </c>
      <c r="C13" s="269" t="s">
        <v>209</v>
      </c>
      <c r="D13" s="269" t="s">
        <v>309</v>
      </c>
      <c r="E13" s="1138">
        <v>0</v>
      </c>
      <c r="F13" s="1138">
        <v>1474771</v>
      </c>
      <c r="G13" s="1138">
        <v>0</v>
      </c>
      <c r="H13" s="1138">
        <v>426044</v>
      </c>
      <c r="I13" s="1138">
        <v>0</v>
      </c>
      <c r="J13" s="1138">
        <v>0</v>
      </c>
      <c r="K13" s="1138">
        <v>0</v>
      </c>
      <c r="L13" s="1138">
        <v>0</v>
      </c>
      <c r="M13" s="1138">
        <v>0</v>
      </c>
      <c r="N13" s="1138">
        <v>0</v>
      </c>
      <c r="O13" s="1138">
        <v>0</v>
      </c>
      <c r="P13" s="1138">
        <v>0</v>
      </c>
      <c r="Q13" s="1138">
        <v>1079175</v>
      </c>
      <c r="R13" s="1138">
        <v>0</v>
      </c>
      <c r="S13" s="1138">
        <v>0</v>
      </c>
      <c r="T13" s="1138">
        <v>2424757</v>
      </c>
      <c r="U13" s="1138">
        <v>0</v>
      </c>
      <c r="V13" s="1138">
        <v>0</v>
      </c>
      <c r="W13" s="1138">
        <v>0</v>
      </c>
      <c r="X13" s="1138">
        <v>0</v>
      </c>
      <c r="Y13" s="1138">
        <v>240000</v>
      </c>
      <c r="Z13" s="1138">
        <v>948</v>
      </c>
      <c r="AA13" s="1138">
        <v>120000</v>
      </c>
      <c r="AB13" s="1138">
        <v>338000</v>
      </c>
      <c r="AC13" s="1138">
        <v>0</v>
      </c>
      <c r="AD13" s="1138">
        <v>0</v>
      </c>
      <c r="AE13" s="1138">
        <v>0</v>
      </c>
      <c r="AF13" s="1138">
        <v>131260</v>
      </c>
      <c r="AG13" s="1138">
        <v>0</v>
      </c>
      <c r="AH13" s="1138">
        <v>0</v>
      </c>
      <c r="AI13" s="1138">
        <v>0</v>
      </c>
      <c r="AJ13" s="1138">
        <v>0</v>
      </c>
      <c r="AK13" s="1138">
        <v>63332</v>
      </c>
      <c r="AL13" s="1138">
        <v>0</v>
      </c>
      <c r="AM13" s="1138">
        <v>0</v>
      </c>
      <c r="AN13" s="1138">
        <v>925911</v>
      </c>
      <c r="AO13" s="1138">
        <v>0</v>
      </c>
      <c r="AP13" s="1138">
        <v>0</v>
      </c>
      <c r="AQ13" s="1138">
        <v>95000</v>
      </c>
      <c r="AR13" s="1138">
        <v>2891680</v>
      </c>
      <c r="AS13" s="1138">
        <v>55585</v>
      </c>
      <c r="AT13" s="1138">
        <v>0</v>
      </c>
      <c r="AU13" s="1138">
        <v>0</v>
      </c>
      <c r="AV13" s="1138">
        <v>405071</v>
      </c>
      <c r="AW13" s="1138">
        <v>0</v>
      </c>
      <c r="AX13" s="1138">
        <v>0</v>
      </c>
      <c r="AY13" s="1138">
        <v>0</v>
      </c>
      <c r="AZ13" s="1138">
        <v>0</v>
      </c>
      <c r="BA13" s="1138">
        <v>552385</v>
      </c>
      <c r="BB13" s="1138">
        <v>0</v>
      </c>
      <c r="BC13" s="1138">
        <v>0</v>
      </c>
      <c r="BD13" s="1138">
        <v>0</v>
      </c>
      <c r="BE13" s="1138">
        <v>0</v>
      </c>
      <c r="BF13" s="1138">
        <v>0</v>
      </c>
      <c r="BG13" s="1138">
        <v>0</v>
      </c>
      <c r="BH13" s="1138">
        <v>0</v>
      </c>
      <c r="BI13" s="1138">
        <v>32</v>
      </c>
      <c r="BJ13" s="1138">
        <v>0</v>
      </c>
      <c r="BK13" s="1138">
        <v>0</v>
      </c>
      <c r="BL13" s="1138">
        <v>150000</v>
      </c>
      <c r="BM13" s="1138">
        <v>0</v>
      </c>
      <c r="BN13" s="1138">
        <v>0</v>
      </c>
      <c r="BO13" s="1138">
        <v>173000</v>
      </c>
      <c r="BP13" s="1138">
        <v>0</v>
      </c>
      <c r="BQ13" s="1138">
        <v>0</v>
      </c>
      <c r="BR13" s="1138">
        <v>0</v>
      </c>
      <c r="BS13" s="1138">
        <v>99914</v>
      </c>
      <c r="BT13" s="1138">
        <v>778958</v>
      </c>
      <c r="BU13" s="1138">
        <v>1780</v>
      </c>
      <c r="BV13" s="1138">
        <v>0</v>
      </c>
      <c r="BW13" s="1138">
        <v>0</v>
      </c>
      <c r="BX13" s="1138">
        <v>0</v>
      </c>
      <c r="BY13" s="1138">
        <v>0</v>
      </c>
      <c r="BZ13" s="1138">
        <v>0</v>
      </c>
      <c r="CA13" s="1138">
        <v>0</v>
      </c>
      <c r="CB13" s="1138">
        <v>0</v>
      </c>
    </row>
    <row r="14" spans="1:80" x14ac:dyDescent="0.3">
      <c r="B14" s="1002">
        <v>19</v>
      </c>
      <c r="C14" s="269" t="s">
        <v>621</v>
      </c>
      <c r="D14" s="269" t="s">
        <v>310</v>
      </c>
      <c r="E14" s="1138"/>
      <c r="F14" s="1138"/>
      <c r="G14" s="1138"/>
      <c r="H14" s="1138"/>
      <c r="I14" s="1138"/>
      <c r="J14" s="1138"/>
      <c r="K14" s="1138"/>
      <c r="L14" s="1138"/>
      <c r="M14" s="1138"/>
      <c r="N14" s="1138"/>
      <c r="O14" s="1138"/>
      <c r="P14" s="1138"/>
      <c r="Q14" s="1138"/>
      <c r="R14" s="1138"/>
      <c r="S14" s="1138"/>
      <c r="T14" s="1138"/>
      <c r="U14" s="1138"/>
      <c r="V14" s="1138"/>
      <c r="W14" s="1138"/>
      <c r="X14" s="1138"/>
      <c r="Y14" s="1138"/>
      <c r="Z14" s="1138"/>
      <c r="AA14" s="1138"/>
      <c r="AB14" s="1138"/>
      <c r="AC14" s="1138"/>
      <c r="AD14" s="1138"/>
      <c r="AE14" s="1138"/>
      <c r="AF14" s="1138"/>
      <c r="AG14" s="1138"/>
      <c r="AH14" s="1138"/>
      <c r="AI14" s="1138"/>
      <c r="AJ14" s="1138"/>
      <c r="AK14" s="1138"/>
      <c r="AL14" s="1138"/>
      <c r="AM14" s="1138"/>
      <c r="AN14" s="1138"/>
      <c r="AO14" s="1138"/>
      <c r="AP14" s="1138"/>
      <c r="AQ14" s="1138"/>
      <c r="AR14" s="1138"/>
      <c r="AS14" s="1138"/>
      <c r="AT14" s="1138"/>
      <c r="AU14" s="1138"/>
      <c r="AV14" s="1138"/>
      <c r="AW14" s="1138"/>
      <c r="AX14" s="1138"/>
      <c r="AY14" s="1138"/>
      <c r="AZ14" s="1138"/>
      <c r="BA14" s="1138"/>
      <c r="BB14" s="1138"/>
      <c r="BC14" s="1138"/>
      <c r="BD14" s="1138"/>
      <c r="BE14" s="1138"/>
      <c r="BF14" s="1138"/>
      <c r="BG14" s="1138"/>
      <c r="BH14" s="1138"/>
      <c r="BI14" s="1138"/>
      <c r="BJ14" s="1138"/>
      <c r="BK14" s="1138"/>
      <c r="BL14" s="1138"/>
      <c r="BM14" s="1138"/>
      <c r="BN14" s="1138"/>
      <c r="BO14" s="1138"/>
      <c r="BP14" s="1138"/>
      <c r="BQ14" s="1138"/>
      <c r="BR14" s="1138"/>
      <c r="BS14" s="1138"/>
      <c r="BT14" s="1138"/>
      <c r="BU14" s="1138"/>
      <c r="BV14" s="1138"/>
      <c r="BW14" s="1138"/>
      <c r="BX14" s="1138"/>
      <c r="BY14" s="1138"/>
      <c r="BZ14" s="1138"/>
      <c r="CA14" s="1138"/>
      <c r="CB14" s="1138"/>
    </row>
    <row r="15" spans="1:80" x14ac:dyDescent="0.3">
      <c r="A15" s="269">
        <v>20</v>
      </c>
      <c r="B15" s="1002">
        <v>20</v>
      </c>
      <c r="C15" s="269" t="s">
        <v>210</v>
      </c>
      <c r="D15" s="269" t="s">
        <v>311</v>
      </c>
      <c r="E15" s="1138">
        <v>0</v>
      </c>
      <c r="F15" s="1138">
        <v>2309972</v>
      </c>
      <c r="G15" s="1138">
        <v>0</v>
      </c>
      <c r="H15" s="1138">
        <v>5132346</v>
      </c>
      <c r="I15" s="1138">
        <v>60000</v>
      </c>
      <c r="J15" s="1138">
        <v>0</v>
      </c>
      <c r="K15" s="1138">
        <v>249595</v>
      </c>
      <c r="L15" s="1138">
        <v>0</v>
      </c>
      <c r="M15" s="1138">
        <v>5105900</v>
      </c>
      <c r="N15" s="1138">
        <v>0</v>
      </c>
      <c r="O15" s="1138">
        <v>0</v>
      </c>
      <c r="P15" s="1138">
        <v>0</v>
      </c>
      <c r="Q15" s="1138">
        <v>1935703</v>
      </c>
      <c r="R15" s="1138">
        <v>0</v>
      </c>
      <c r="S15" s="1138">
        <v>0</v>
      </c>
      <c r="T15" s="1138">
        <v>5000</v>
      </c>
      <c r="U15" s="1138">
        <v>0</v>
      </c>
      <c r="V15" s="1138">
        <v>2301080</v>
      </c>
      <c r="W15" s="1138">
        <v>0</v>
      </c>
      <c r="X15" s="1138">
        <v>0</v>
      </c>
      <c r="Y15" s="1138">
        <v>717715</v>
      </c>
      <c r="Z15" s="1138">
        <v>0</v>
      </c>
      <c r="AA15" s="1138">
        <v>88932</v>
      </c>
      <c r="AB15" s="1138">
        <v>336810</v>
      </c>
      <c r="AC15" s="1138">
        <v>0</v>
      </c>
      <c r="AD15" s="1138">
        <v>0</v>
      </c>
      <c r="AE15" s="1138">
        <v>0</v>
      </c>
      <c r="AF15" s="1138">
        <v>0</v>
      </c>
      <c r="AG15" s="1138">
        <v>0</v>
      </c>
      <c r="AH15" s="1138">
        <v>0</v>
      </c>
      <c r="AI15" s="1138">
        <v>0</v>
      </c>
      <c r="AJ15" s="1138">
        <v>0</v>
      </c>
      <c r="AK15" s="1138">
        <v>20000</v>
      </c>
      <c r="AL15" s="1138">
        <v>0</v>
      </c>
      <c r="AM15" s="1138">
        <v>0</v>
      </c>
      <c r="AN15" s="1138">
        <v>1358271</v>
      </c>
      <c r="AO15" s="1138">
        <v>60000</v>
      </c>
      <c r="AP15" s="1138">
        <v>0</v>
      </c>
      <c r="AQ15" s="1138">
        <v>659000</v>
      </c>
      <c r="AR15" s="1138">
        <v>575192</v>
      </c>
      <c r="AS15" s="1138">
        <v>0</v>
      </c>
      <c r="AT15" s="1138">
        <v>0</v>
      </c>
      <c r="AU15" s="1138">
        <v>0</v>
      </c>
      <c r="AV15" s="1138">
        <v>0</v>
      </c>
      <c r="AW15" s="1138">
        <v>0</v>
      </c>
      <c r="AX15" s="1138">
        <v>0</v>
      </c>
      <c r="AY15" s="1138">
        <v>7167</v>
      </c>
      <c r="AZ15" s="1138">
        <v>0</v>
      </c>
      <c r="BA15" s="1138">
        <v>192933</v>
      </c>
      <c r="BB15" s="1138">
        <v>0</v>
      </c>
      <c r="BC15" s="1138">
        <v>0</v>
      </c>
      <c r="BD15" s="1138">
        <v>0</v>
      </c>
      <c r="BE15" s="1138">
        <v>0</v>
      </c>
      <c r="BF15" s="1138">
        <v>0</v>
      </c>
      <c r="BG15" s="1138">
        <v>0</v>
      </c>
      <c r="BH15" s="1138">
        <v>0</v>
      </c>
      <c r="BI15" s="1138">
        <v>0</v>
      </c>
      <c r="BJ15" s="1138">
        <v>0</v>
      </c>
      <c r="BK15" s="1138">
        <v>0</v>
      </c>
      <c r="BL15" s="1138">
        <v>0</v>
      </c>
      <c r="BM15" s="1138">
        <v>40000</v>
      </c>
      <c r="BN15" s="1138">
        <v>0</v>
      </c>
      <c r="BO15" s="1138">
        <v>65618</v>
      </c>
      <c r="BP15" s="1138">
        <v>0</v>
      </c>
      <c r="BQ15" s="1138">
        <v>0</v>
      </c>
      <c r="BR15" s="1138">
        <v>0</v>
      </c>
      <c r="BS15" s="1138">
        <v>317850</v>
      </c>
      <c r="BT15" s="1138">
        <v>243621</v>
      </c>
      <c r="BU15" s="1138">
        <v>0</v>
      </c>
      <c r="BV15" s="1138">
        <v>27560</v>
      </c>
      <c r="BW15" s="1138">
        <v>0</v>
      </c>
      <c r="BX15" s="1138">
        <v>12149</v>
      </c>
      <c r="BY15" s="1138">
        <v>0</v>
      </c>
      <c r="BZ15" s="1138">
        <v>0</v>
      </c>
      <c r="CA15" s="1138">
        <v>1500000</v>
      </c>
      <c r="CB15" s="1138">
        <v>0</v>
      </c>
    </row>
    <row r="16" spans="1:80" x14ac:dyDescent="0.3">
      <c r="B16" s="1002">
        <v>21</v>
      </c>
      <c r="C16" s="269" t="s">
        <v>622</v>
      </c>
      <c r="D16" s="269" t="s">
        <v>312</v>
      </c>
      <c r="E16" s="1138"/>
      <c r="F16" s="1138"/>
      <c r="G16" s="1138"/>
      <c r="H16" s="1138"/>
      <c r="I16" s="1138"/>
      <c r="J16" s="1138"/>
      <c r="K16" s="1138"/>
      <c r="L16" s="1138"/>
      <c r="M16" s="1138"/>
      <c r="N16" s="1138"/>
      <c r="O16" s="1138"/>
      <c r="P16" s="1138"/>
      <c r="Q16" s="1138"/>
      <c r="R16" s="1138"/>
      <c r="S16" s="1138"/>
      <c r="T16" s="1138"/>
      <c r="U16" s="1138"/>
      <c r="V16" s="1138"/>
      <c r="W16" s="1138"/>
      <c r="X16" s="1138"/>
      <c r="Y16" s="1138"/>
      <c r="Z16" s="1138"/>
      <c r="AA16" s="1138"/>
      <c r="AB16" s="1138"/>
      <c r="AC16" s="1138"/>
      <c r="AD16" s="1138"/>
      <c r="AE16" s="1138"/>
      <c r="AF16" s="1138"/>
      <c r="AG16" s="1138"/>
      <c r="AH16" s="1138"/>
      <c r="AI16" s="1138"/>
      <c r="AJ16" s="1138"/>
      <c r="AK16" s="1138"/>
      <c r="AL16" s="1138"/>
      <c r="AM16" s="1138"/>
      <c r="AN16" s="1138"/>
      <c r="AO16" s="1138"/>
      <c r="AP16" s="1138"/>
      <c r="AQ16" s="1138"/>
      <c r="AR16" s="1138"/>
      <c r="AS16" s="1138"/>
      <c r="AT16" s="1138"/>
      <c r="AU16" s="1138"/>
      <c r="AV16" s="1138"/>
      <c r="AW16" s="1138"/>
      <c r="AX16" s="1138"/>
      <c r="AY16" s="1138"/>
      <c r="AZ16" s="1138"/>
      <c r="BA16" s="1138"/>
      <c r="BB16" s="1138"/>
      <c r="BC16" s="1138"/>
      <c r="BD16" s="1138"/>
      <c r="BE16" s="1138"/>
      <c r="BF16" s="1138"/>
      <c r="BG16" s="1138"/>
      <c r="BH16" s="1138"/>
      <c r="BI16" s="1138"/>
      <c r="BJ16" s="1138"/>
      <c r="BK16" s="1138"/>
      <c r="BL16" s="1138"/>
      <c r="BM16" s="1138"/>
      <c r="BN16" s="1138"/>
      <c r="BO16" s="1138"/>
      <c r="BP16" s="1138"/>
      <c r="BQ16" s="1138"/>
      <c r="BR16" s="1138"/>
      <c r="BS16" s="1138"/>
      <c r="BT16" s="1138"/>
      <c r="BU16" s="1138"/>
      <c r="BV16" s="1138"/>
      <c r="BW16" s="1138"/>
      <c r="BX16" s="1138"/>
      <c r="BY16" s="1138"/>
      <c r="BZ16" s="1138"/>
      <c r="CA16" s="1138"/>
      <c r="CB16" s="1138"/>
    </row>
    <row r="17" spans="1:80" x14ac:dyDescent="0.3">
      <c r="A17" s="269">
        <v>22</v>
      </c>
      <c r="B17" s="1002">
        <v>22</v>
      </c>
      <c r="C17" s="269" t="s">
        <v>212</v>
      </c>
      <c r="D17" s="269" t="s">
        <v>313</v>
      </c>
      <c r="E17" s="1138">
        <v>53853</v>
      </c>
      <c r="F17" s="1138">
        <v>0</v>
      </c>
      <c r="G17" s="1138">
        <v>0</v>
      </c>
      <c r="H17" s="1138">
        <v>220066</v>
      </c>
      <c r="I17" s="1138">
        <v>35148</v>
      </c>
      <c r="J17" s="1138">
        <v>0</v>
      </c>
      <c r="K17" s="1138">
        <v>0</v>
      </c>
      <c r="L17" s="1138">
        <v>30000</v>
      </c>
      <c r="M17" s="1138">
        <v>0</v>
      </c>
      <c r="N17" s="1138">
        <v>0</v>
      </c>
      <c r="O17" s="1138">
        <v>29449</v>
      </c>
      <c r="P17" s="1138">
        <v>0</v>
      </c>
      <c r="Q17" s="1138">
        <v>8231</v>
      </c>
      <c r="R17" s="1138">
        <v>45307</v>
      </c>
      <c r="S17" s="1138">
        <v>65017</v>
      </c>
      <c r="T17" s="1138">
        <v>0</v>
      </c>
      <c r="U17" s="1138">
        <v>0</v>
      </c>
      <c r="V17" s="1138">
        <v>0</v>
      </c>
      <c r="W17" s="1138">
        <v>0</v>
      </c>
      <c r="X17" s="1138">
        <v>0</v>
      </c>
      <c r="Y17" s="1138">
        <v>40954</v>
      </c>
      <c r="Z17" s="1138">
        <v>0</v>
      </c>
      <c r="AA17" s="1138">
        <v>0</v>
      </c>
      <c r="AB17" s="1138">
        <v>0</v>
      </c>
      <c r="AC17" s="1138">
        <v>0</v>
      </c>
      <c r="AD17" s="1138">
        <v>0</v>
      </c>
      <c r="AE17" s="1138">
        <v>0</v>
      </c>
      <c r="AF17" s="1138">
        <v>252000</v>
      </c>
      <c r="AG17" s="1138">
        <v>0</v>
      </c>
      <c r="AH17" s="1138">
        <v>0</v>
      </c>
      <c r="AI17" s="1138">
        <v>0</v>
      </c>
      <c r="AJ17" s="1138">
        <v>2336</v>
      </c>
      <c r="AK17" s="1138">
        <v>0</v>
      </c>
      <c r="AL17" s="1138">
        <v>0</v>
      </c>
      <c r="AM17" s="1138">
        <v>0</v>
      </c>
      <c r="AN17" s="1138">
        <v>0</v>
      </c>
      <c r="AO17" s="1138">
        <v>0</v>
      </c>
      <c r="AP17" s="1138">
        <v>0</v>
      </c>
      <c r="AQ17" s="1138">
        <v>0</v>
      </c>
      <c r="AR17" s="1138">
        <v>825</v>
      </c>
      <c r="AS17" s="1138">
        <v>236</v>
      </c>
      <c r="AT17" s="1138">
        <v>4549</v>
      </c>
      <c r="AU17" s="1138">
        <v>10368</v>
      </c>
      <c r="AV17" s="1138">
        <v>15000</v>
      </c>
      <c r="AW17" s="1138">
        <v>205801</v>
      </c>
      <c r="AX17" s="1138">
        <v>0</v>
      </c>
      <c r="AY17" s="1138">
        <v>0</v>
      </c>
      <c r="AZ17" s="1138">
        <v>0</v>
      </c>
      <c r="BA17" s="1138">
        <v>12035</v>
      </c>
      <c r="BB17" s="1138">
        <v>0</v>
      </c>
      <c r="BC17" s="1138">
        <v>0</v>
      </c>
      <c r="BD17" s="1138">
        <v>0</v>
      </c>
      <c r="BE17" s="1138">
        <v>0</v>
      </c>
      <c r="BF17" s="1138">
        <v>0</v>
      </c>
      <c r="BG17" s="1138">
        <v>178200</v>
      </c>
      <c r="BH17" s="1138">
        <v>0</v>
      </c>
      <c r="BI17" s="1138">
        <v>0</v>
      </c>
      <c r="BJ17" s="1138">
        <v>0</v>
      </c>
      <c r="BK17" s="1138">
        <v>0</v>
      </c>
      <c r="BL17" s="1138">
        <v>536973</v>
      </c>
      <c r="BM17" s="1138">
        <v>0</v>
      </c>
      <c r="BN17" s="1138">
        <v>0</v>
      </c>
      <c r="BO17" s="1138">
        <v>228317</v>
      </c>
      <c r="BP17" s="1138">
        <v>0</v>
      </c>
      <c r="BQ17" s="1138">
        <v>0</v>
      </c>
      <c r="BR17" s="1138">
        <v>0</v>
      </c>
      <c r="BS17" s="1138">
        <v>0</v>
      </c>
      <c r="BT17" s="1138">
        <v>56046</v>
      </c>
      <c r="BU17" s="1138">
        <v>0</v>
      </c>
      <c r="BV17" s="1138">
        <v>0</v>
      </c>
      <c r="BW17" s="1138">
        <v>39631</v>
      </c>
      <c r="BX17" s="1138">
        <v>0</v>
      </c>
      <c r="BY17" s="1138">
        <v>0</v>
      </c>
      <c r="BZ17" s="1138">
        <v>0</v>
      </c>
      <c r="CA17" s="1138">
        <v>0</v>
      </c>
      <c r="CB17" s="1138">
        <v>0</v>
      </c>
    </row>
    <row r="18" spans="1:80" x14ac:dyDescent="0.3">
      <c r="A18" s="269">
        <v>23</v>
      </c>
      <c r="B18" s="1002">
        <v>23</v>
      </c>
      <c r="C18" s="269" t="s">
        <v>215</v>
      </c>
      <c r="D18" s="269" t="s">
        <v>314</v>
      </c>
      <c r="E18" s="1138">
        <v>-70891</v>
      </c>
      <c r="F18" s="1138">
        <v>1551623</v>
      </c>
      <c r="G18" s="1138">
        <v>0</v>
      </c>
      <c r="H18" s="1138">
        <v>3634010</v>
      </c>
      <c r="I18" s="1138">
        <v>676789</v>
      </c>
      <c r="J18" s="1138">
        <v>22698</v>
      </c>
      <c r="K18" s="1138">
        <v>45016</v>
      </c>
      <c r="L18" s="1138">
        <v>42003</v>
      </c>
      <c r="M18" s="1138">
        <v>3622843</v>
      </c>
      <c r="N18" s="1138">
        <v>12265</v>
      </c>
      <c r="O18" s="1138">
        <v>33272</v>
      </c>
      <c r="P18" s="1138">
        <v>134603</v>
      </c>
      <c r="Q18" s="1138">
        <v>2417707</v>
      </c>
      <c r="R18" s="1138">
        <v>1035222</v>
      </c>
      <c r="S18" s="1138">
        <v>-327455</v>
      </c>
      <c r="T18" s="1138">
        <v>2120444</v>
      </c>
      <c r="U18" s="1138">
        <v>0</v>
      </c>
      <c r="V18" s="1138">
        <v>-3355431</v>
      </c>
      <c r="W18" s="1138">
        <v>3595</v>
      </c>
      <c r="X18" s="1138">
        <v>1462783</v>
      </c>
      <c r="Y18" s="1138">
        <v>-386979</v>
      </c>
      <c r="Z18" s="1138">
        <v>361064</v>
      </c>
      <c r="AA18" s="1138">
        <v>459338</v>
      </c>
      <c r="AB18" s="1138">
        <v>596353</v>
      </c>
      <c r="AC18" s="1138">
        <v>-46505</v>
      </c>
      <c r="AD18" s="1138">
        <v>76710</v>
      </c>
      <c r="AE18" s="1138">
        <v>230478</v>
      </c>
      <c r="AF18" s="1138">
        <v>305797</v>
      </c>
      <c r="AG18" s="1138">
        <v>23729</v>
      </c>
      <c r="AH18" s="1138">
        <v>11018</v>
      </c>
      <c r="AI18" s="1138">
        <v>9691</v>
      </c>
      <c r="AJ18" s="1138">
        <v>611</v>
      </c>
      <c r="AK18" s="1138">
        <v>-760488</v>
      </c>
      <c r="AL18" s="1138">
        <v>-36671</v>
      </c>
      <c r="AM18" s="1138">
        <v>4935</v>
      </c>
      <c r="AN18" s="1138">
        <v>-813375</v>
      </c>
      <c r="AO18" s="1138">
        <v>995347</v>
      </c>
      <c r="AP18" s="1138">
        <v>53737</v>
      </c>
      <c r="AQ18" s="1138">
        <v>287948</v>
      </c>
      <c r="AR18" s="1138">
        <v>1999188</v>
      </c>
      <c r="AS18" s="1138">
        <v>219136</v>
      </c>
      <c r="AT18" s="1138">
        <v>42361</v>
      </c>
      <c r="AU18" s="1138">
        <v>-1547699</v>
      </c>
      <c r="AV18" s="1138">
        <v>408154</v>
      </c>
      <c r="AW18" s="1138">
        <v>-9947</v>
      </c>
      <c r="AX18" s="1138">
        <v>-51539</v>
      </c>
      <c r="AY18" s="1138">
        <v>450177</v>
      </c>
      <c r="AZ18" s="1138">
        <v>443065</v>
      </c>
      <c r="BA18" s="1138">
        <v>-32277</v>
      </c>
      <c r="BB18" s="1138">
        <v>-23222</v>
      </c>
      <c r="BC18" s="1138">
        <v>0</v>
      </c>
      <c r="BD18" s="1138">
        <v>0</v>
      </c>
      <c r="BE18" s="1138">
        <v>13418</v>
      </c>
      <c r="BF18" s="1138">
        <v>0</v>
      </c>
      <c r="BG18" s="1138">
        <v>89396</v>
      </c>
      <c r="BH18" s="1138">
        <v>13055</v>
      </c>
      <c r="BI18" s="1138">
        <v>84127</v>
      </c>
      <c r="BJ18" s="1138">
        <v>291791</v>
      </c>
      <c r="BK18" s="1138">
        <v>0</v>
      </c>
      <c r="BL18" s="1138">
        <v>-5606</v>
      </c>
      <c r="BM18" s="1138">
        <v>441980</v>
      </c>
      <c r="BN18" s="1138">
        <v>7290</v>
      </c>
      <c r="BO18" s="1138">
        <v>149877</v>
      </c>
      <c r="BP18" s="1138">
        <v>193398</v>
      </c>
      <c r="BQ18" s="1138">
        <v>16312</v>
      </c>
      <c r="BR18" s="1138">
        <v>88220</v>
      </c>
      <c r="BS18" s="1138">
        <v>166210</v>
      </c>
      <c r="BT18" s="1138">
        <v>403712</v>
      </c>
      <c r="BU18" s="1138">
        <v>751941</v>
      </c>
      <c r="BV18" s="1138">
        <v>100546</v>
      </c>
      <c r="BW18" s="1138">
        <v>858759</v>
      </c>
      <c r="BX18" s="1138">
        <v>-119185</v>
      </c>
      <c r="BY18" s="1138">
        <v>11923</v>
      </c>
      <c r="BZ18" s="1138">
        <v>3552</v>
      </c>
      <c r="CA18" s="1138">
        <v>1194284</v>
      </c>
      <c r="CB18" s="1138">
        <v>58498</v>
      </c>
    </row>
    <row r="19" spans="1:80" x14ac:dyDescent="0.3">
      <c r="B19" s="1002">
        <v>31</v>
      </c>
      <c r="C19" s="269" t="s">
        <v>623</v>
      </c>
      <c r="D19" s="269" t="s">
        <v>315</v>
      </c>
      <c r="E19" s="1138"/>
      <c r="F19" s="1138"/>
      <c r="G19" s="1138"/>
      <c r="H19" s="1138"/>
      <c r="I19" s="1138"/>
      <c r="J19" s="1138"/>
      <c r="K19" s="1138"/>
      <c r="L19" s="1138"/>
      <c r="M19" s="1138"/>
      <c r="N19" s="1138"/>
      <c r="O19" s="1138"/>
      <c r="P19" s="1138"/>
      <c r="Q19" s="1138"/>
      <c r="R19" s="1138"/>
      <c r="S19" s="1138"/>
      <c r="T19" s="1138"/>
      <c r="U19" s="1138"/>
      <c r="V19" s="1138"/>
      <c r="W19" s="1138"/>
      <c r="X19" s="1138"/>
      <c r="Y19" s="1138"/>
      <c r="Z19" s="1138"/>
      <c r="AA19" s="1138"/>
      <c r="AB19" s="1138"/>
      <c r="AC19" s="1138"/>
      <c r="AD19" s="1138"/>
      <c r="AE19" s="1138"/>
      <c r="AF19" s="1138"/>
      <c r="AG19" s="1138"/>
      <c r="AH19" s="1138"/>
      <c r="AI19" s="1138"/>
      <c r="AJ19" s="1138"/>
      <c r="AK19" s="1138"/>
      <c r="AL19" s="1138"/>
      <c r="AM19" s="1138"/>
      <c r="AN19" s="1138"/>
      <c r="AO19" s="1138"/>
      <c r="AP19" s="1138"/>
      <c r="AQ19" s="1138"/>
      <c r="AR19" s="1138"/>
      <c r="AS19" s="1138"/>
      <c r="AT19" s="1138"/>
      <c r="AU19" s="1138"/>
      <c r="AV19" s="1138"/>
      <c r="AW19" s="1138"/>
      <c r="AX19" s="1138"/>
      <c r="AY19" s="1138"/>
      <c r="AZ19" s="1138"/>
      <c r="BA19" s="1138"/>
      <c r="BB19" s="1138"/>
      <c r="BC19" s="1138"/>
      <c r="BD19" s="1138"/>
      <c r="BE19" s="1138"/>
      <c r="BF19" s="1138"/>
      <c r="BG19" s="1138"/>
      <c r="BH19" s="1138"/>
      <c r="BI19" s="1138"/>
      <c r="BJ19" s="1138"/>
      <c r="BK19" s="1138"/>
      <c r="BL19" s="1138"/>
      <c r="BM19" s="1138"/>
      <c r="BN19" s="1138"/>
      <c r="BO19" s="1138"/>
      <c r="BP19" s="1138"/>
      <c r="BQ19" s="1138"/>
      <c r="BR19" s="1138"/>
      <c r="BS19" s="1138"/>
      <c r="BT19" s="1138"/>
      <c r="BU19" s="1138"/>
      <c r="BV19" s="1138"/>
      <c r="BW19" s="1138"/>
      <c r="BX19" s="1138"/>
      <c r="BY19" s="1138"/>
      <c r="BZ19" s="1138"/>
      <c r="CA19" s="1138"/>
      <c r="CB19" s="1138"/>
    </row>
    <row r="20" spans="1:80" x14ac:dyDescent="0.3">
      <c r="B20" s="1002">
        <v>32</v>
      </c>
      <c r="C20" s="269" t="s">
        <v>316</v>
      </c>
      <c r="D20" s="269" t="s">
        <v>317</v>
      </c>
      <c r="E20" s="1138"/>
      <c r="F20" s="1138"/>
      <c r="G20" s="1138"/>
      <c r="H20" s="1138"/>
      <c r="I20" s="1138"/>
      <c r="J20" s="1138"/>
      <c r="K20" s="1138"/>
      <c r="L20" s="1138"/>
      <c r="M20" s="1138"/>
      <c r="N20" s="1138"/>
      <c r="O20" s="1138"/>
      <c r="P20" s="1138"/>
      <c r="Q20" s="1138"/>
      <c r="R20" s="1138"/>
      <c r="S20" s="1138"/>
      <c r="T20" s="1138"/>
      <c r="U20" s="1138"/>
      <c r="V20" s="1138"/>
      <c r="W20" s="1138"/>
      <c r="X20" s="1138"/>
      <c r="Y20" s="1138"/>
      <c r="Z20" s="1138"/>
      <c r="AA20" s="1138"/>
      <c r="AB20" s="1138"/>
      <c r="AC20" s="1138"/>
      <c r="AD20" s="1138"/>
      <c r="AE20" s="1138"/>
      <c r="AF20" s="1138"/>
      <c r="AG20" s="1138"/>
      <c r="AH20" s="1138"/>
      <c r="AI20" s="1138"/>
      <c r="AJ20" s="1138"/>
      <c r="AK20" s="1138"/>
      <c r="AL20" s="1138"/>
      <c r="AM20" s="1138"/>
      <c r="AN20" s="1138"/>
      <c r="AO20" s="1138"/>
      <c r="AP20" s="1138"/>
      <c r="AQ20" s="1138"/>
      <c r="AR20" s="1138"/>
      <c r="AS20" s="1138"/>
      <c r="AT20" s="1138"/>
      <c r="AU20" s="1138"/>
      <c r="AV20" s="1138"/>
      <c r="AW20" s="1138"/>
      <c r="AX20" s="1138"/>
      <c r="AY20" s="1138"/>
      <c r="AZ20" s="1138"/>
      <c r="BA20" s="1138"/>
      <c r="BB20" s="1138"/>
      <c r="BC20" s="1138"/>
      <c r="BD20" s="1138"/>
      <c r="BE20" s="1138"/>
      <c r="BF20" s="1138"/>
      <c r="BG20" s="1138"/>
      <c r="BH20" s="1138"/>
      <c r="BI20" s="1138"/>
      <c r="BJ20" s="1138"/>
      <c r="BK20" s="1138"/>
      <c r="BL20" s="1138"/>
      <c r="BM20" s="1138"/>
      <c r="BN20" s="1138"/>
      <c r="BO20" s="1138"/>
      <c r="BP20" s="1138"/>
      <c r="BQ20" s="1138"/>
      <c r="BR20" s="1138"/>
      <c r="BS20" s="1138"/>
      <c r="BT20" s="1138"/>
      <c r="BU20" s="1138"/>
      <c r="BV20" s="1138"/>
      <c r="BW20" s="1138"/>
      <c r="BX20" s="1138"/>
      <c r="BY20" s="1138"/>
      <c r="BZ20" s="1138"/>
      <c r="CA20" s="1138"/>
      <c r="CB20" s="1138"/>
    </row>
    <row r="21" spans="1:80" x14ac:dyDescent="0.3">
      <c r="B21" s="1002">
        <v>33</v>
      </c>
      <c r="C21" s="269" t="s">
        <v>318</v>
      </c>
      <c r="D21" s="269" t="s">
        <v>319</v>
      </c>
      <c r="E21" s="1138"/>
      <c r="F21" s="1138"/>
      <c r="G21" s="1138"/>
      <c r="H21" s="1138"/>
      <c r="I21" s="1138"/>
      <c r="J21" s="1138"/>
      <c r="K21" s="1138"/>
      <c r="L21" s="1138"/>
      <c r="M21" s="1138"/>
      <c r="N21" s="1138"/>
      <c r="O21" s="1138"/>
      <c r="P21" s="1138"/>
      <c r="Q21" s="1138"/>
      <c r="R21" s="1138"/>
      <c r="S21" s="1138"/>
      <c r="T21" s="1138"/>
      <c r="U21" s="1138"/>
      <c r="V21" s="1138"/>
      <c r="W21" s="1138"/>
      <c r="X21" s="1138"/>
      <c r="Y21" s="1138"/>
      <c r="Z21" s="1138"/>
      <c r="AA21" s="1138"/>
      <c r="AB21" s="1138"/>
      <c r="AC21" s="1138"/>
      <c r="AD21" s="1138"/>
      <c r="AE21" s="1138"/>
      <c r="AF21" s="1138"/>
      <c r="AG21" s="1138"/>
      <c r="AH21" s="1138"/>
      <c r="AI21" s="1138"/>
      <c r="AJ21" s="1138"/>
      <c r="AK21" s="1138"/>
      <c r="AL21" s="1138"/>
      <c r="AM21" s="1138"/>
      <c r="AN21" s="1138"/>
      <c r="AO21" s="1138"/>
      <c r="AP21" s="1138"/>
      <c r="AQ21" s="1138"/>
      <c r="AR21" s="1138"/>
      <c r="AS21" s="1138"/>
      <c r="AT21" s="1138"/>
      <c r="AU21" s="1138"/>
      <c r="AV21" s="1138"/>
      <c r="AW21" s="1138"/>
      <c r="AX21" s="1138"/>
      <c r="AY21" s="1138"/>
      <c r="AZ21" s="1138"/>
      <c r="BA21" s="1138"/>
      <c r="BB21" s="1138"/>
      <c r="BC21" s="1138"/>
      <c r="BD21" s="1138"/>
      <c r="BE21" s="1138"/>
      <c r="BF21" s="1138"/>
      <c r="BG21" s="1138"/>
      <c r="BH21" s="1138"/>
      <c r="BI21" s="1138"/>
      <c r="BJ21" s="1138"/>
      <c r="BK21" s="1138"/>
      <c r="BL21" s="1138"/>
      <c r="BM21" s="1138"/>
      <c r="BN21" s="1138"/>
      <c r="BO21" s="1138"/>
      <c r="BP21" s="1138"/>
      <c r="BQ21" s="1138"/>
      <c r="BR21" s="1138"/>
      <c r="BS21" s="1138"/>
      <c r="BT21" s="1138"/>
      <c r="BU21" s="1138"/>
      <c r="BV21" s="1138"/>
      <c r="BW21" s="1138"/>
      <c r="BX21" s="1138"/>
      <c r="BY21" s="1138"/>
      <c r="BZ21" s="1138"/>
      <c r="CA21" s="1138"/>
      <c r="CB21" s="1138"/>
    </row>
    <row r="22" spans="1:80" x14ac:dyDescent="0.3">
      <c r="B22" s="1002">
        <v>34</v>
      </c>
      <c r="C22" s="269" t="s">
        <v>320</v>
      </c>
      <c r="D22" s="269" t="s">
        <v>321</v>
      </c>
      <c r="E22" s="1138"/>
      <c r="F22" s="1138"/>
      <c r="G22" s="1138"/>
      <c r="H22" s="1138"/>
      <c r="I22" s="1138"/>
      <c r="J22" s="1138"/>
      <c r="K22" s="1138"/>
      <c r="L22" s="1138"/>
      <c r="M22" s="1138"/>
      <c r="N22" s="1138"/>
      <c r="O22" s="1138"/>
      <c r="P22" s="1138"/>
      <c r="Q22" s="1138"/>
      <c r="R22" s="1138"/>
      <c r="S22" s="1138"/>
      <c r="T22" s="1138"/>
      <c r="U22" s="1138"/>
      <c r="V22" s="1138"/>
      <c r="W22" s="1138"/>
      <c r="X22" s="1138"/>
      <c r="Y22" s="1138"/>
      <c r="Z22" s="1138"/>
      <c r="AA22" s="1138"/>
      <c r="AB22" s="1138"/>
      <c r="AC22" s="1138"/>
      <c r="AD22" s="1138"/>
      <c r="AE22" s="1138"/>
      <c r="AF22" s="1138"/>
      <c r="AG22" s="1138"/>
      <c r="AH22" s="1138"/>
      <c r="AI22" s="1138"/>
      <c r="AJ22" s="1138"/>
      <c r="AK22" s="1138"/>
      <c r="AL22" s="1138"/>
      <c r="AM22" s="1138"/>
      <c r="AN22" s="1138"/>
      <c r="AO22" s="1138"/>
      <c r="AP22" s="1138"/>
      <c r="AQ22" s="1138"/>
      <c r="AR22" s="1138"/>
      <c r="AS22" s="1138"/>
      <c r="AT22" s="1138"/>
      <c r="AU22" s="1138"/>
      <c r="AV22" s="1138"/>
      <c r="AW22" s="1138"/>
      <c r="AX22" s="1138"/>
      <c r="AY22" s="1138"/>
      <c r="AZ22" s="1138"/>
      <c r="BA22" s="1138"/>
      <c r="BB22" s="1138"/>
      <c r="BC22" s="1138"/>
      <c r="BD22" s="1138"/>
      <c r="BE22" s="1138"/>
      <c r="BF22" s="1138"/>
      <c r="BG22" s="1138"/>
      <c r="BH22" s="1138"/>
      <c r="BI22" s="1138"/>
      <c r="BJ22" s="1138"/>
      <c r="BK22" s="1138"/>
      <c r="BL22" s="1138"/>
      <c r="BM22" s="1138"/>
      <c r="BN22" s="1138"/>
      <c r="BO22" s="1138"/>
      <c r="BP22" s="1138"/>
      <c r="BQ22" s="1138"/>
      <c r="BR22" s="1138"/>
      <c r="BS22" s="1138"/>
      <c r="BT22" s="1138"/>
      <c r="BU22" s="1138"/>
      <c r="BV22" s="1138"/>
      <c r="BW22" s="1138"/>
      <c r="BX22" s="1138"/>
      <c r="BY22" s="1138"/>
      <c r="BZ22" s="1138"/>
      <c r="CA22" s="1138"/>
      <c r="CB22" s="1138"/>
    </row>
    <row r="23" spans="1:80" x14ac:dyDescent="0.3">
      <c r="B23" s="1002">
        <v>35</v>
      </c>
      <c r="C23" s="269" t="s">
        <v>624</v>
      </c>
      <c r="D23" s="269" t="s">
        <v>322</v>
      </c>
      <c r="E23" s="1138"/>
      <c r="F23" s="1138"/>
      <c r="G23" s="1138"/>
      <c r="H23" s="1138"/>
      <c r="I23" s="1138"/>
      <c r="J23" s="1138"/>
      <c r="K23" s="1138"/>
      <c r="L23" s="1138"/>
      <c r="M23" s="1138"/>
      <c r="N23" s="1138"/>
      <c r="O23" s="1138"/>
      <c r="P23" s="1138"/>
      <c r="Q23" s="1138"/>
      <c r="R23" s="1138"/>
      <c r="S23" s="1138"/>
      <c r="T23" s="1138"/>
      <c r="U23" s="1138"/>
      <c r="V23" s="1138"/>
      <c r="W23" s="1138"/>
      <c r="X23" s="1138"/>
      <c r="Y23" s="1138"/>
      <c r="Z23" s="1138"/>
      <c r="AA23" s="1138"/>
      <c r="AB23" s="1138"/>
      <c r="AC23" s="1138"/>
      <c r="AD23" s="1138"/>
      <c r="AE23" s="1138"/>
      <c r="AF23" s="1138"/>
      <c r="AG23" s="1138"/>
      <c r="AH23" s="1138"/>
      <c r="AI23" s="1138"/>
      <c r="AJ23" s="1138"/>
      <c r="AK23" s="1138"/>
      <c r="AL23" s="1138"/>
      <c r="AM23" s="1138"/>
      <c r="AN23" s="1138"/>
      <c r="AO23" s="1138"/>
      <c r="AP23" s="1138"/>
      <c r="AQ23" s="1138"/>
      <c r="AR23" s="1138"/>
      <c r="AS23" s="1138"/>
      <c r="AT23" s="1138"/>
      <c r="AU23" s="1138"/>
      <c r="AV23" s="1138"/>
      <c r="AW23" s="1138"/>
      <c r="AX23" s="1138"/>
      <c r="AY23" s="1138"/>
      <c r="AZ23" s="1138"/>
      <c r="BA23" s="1138"/>
      <c r="BB23" s="1138"/>
      <c r="BC23" s="1138"/>
      <c r="BD23" s="1138"/>
      <c r="BE23" s="1138"/>
      <c r="BF23" s="1138"/>
      <c r="BG23" s="1138"/>
      <c r="BH23" s="1138"/>
      <c r="BI23" s="1138"/>
      <c r="BJ23" s="1138"/>
      <c r="BK23" s="1138"/>
      <c r="BL23" s="1138"/>
      <c r="BM23" s="1138"/>
      <c r="BN23" s="1138"/>
      <c r="BO23" s="1138"/>
      <c r="BP23" s="1138"/>
      <c r="BQ23" s="1138"/>
      <c r="BR23" s="1138"/>
      <c r="BS23" s="1138"/>
      <c r="BT23" s="1138"/>
      <c r="BU23" s="1138"/>
      <c r="BV23" s="1138"/>
      <c r="BW23" s="1138"/>
      <c r="BX23" s="1138"/>
      <c r="BY23" s="1138"/>
      <c r="BZ23" s="1138"/>
      <c r="CA23" s="1138"/>
      <c r="CB23" s="1138"/>
    </row>
    <row r="24" spans="1:80" x14ac:dyDescent="0.3">
      <c r="B24" s="1002">
        <v>36</v>
      </c>
      <c r="C24" s="269" t="s">
        <v>625</v>
      </c>
      <c r="D24" s="269" t="s">
        <v>323</v>
      </c>
      <c r="E24" s="1138"/>
      <c r="F24" s="1138"/>
      <c r="G24" s="1138"/>
      <c r="H24" s="1138"/>
      <c r="I24" s="1138"/>
      <c r="J24" s="1138"/>
      <c r="K24" s="1138"/>
      <c r="L24" s="1138"/>
      <c r="M24" s="1138"/>
      <c r="N24" s="1138"/>
      <c r="O24" s="1138"/>
      <c r="P24" s="1138"/>
      <c r="Q24" s="1138"/>
      <c r="R24" s="1138"/>
      <c r="S24" s="1138"/>
      <c r="T24" s="1138"/>
      <c r="U24" s="1138"/>
      <c r="V24" s="1138"/>
      <c r="W24" s="1138"/>
      <c r="X24" s="1138"/>
      <c r="Y24" s="1138"/>
      <c r="Z24" s="1138"/>
      <c r="AA24" s="1138"/>
      <c r="AB24" s="1138"/>
      <c r="AC24" s="1138"/>
      <c r="AD24" s="1138"/>
      <c r="AE24" s="1138"/>
      <c r="AF24" s="1138"/>
      <c r="AG24" s="1138"/>
      <c r="AH24" s="1138"/>
      <c r="AI24" s="1138"/>
      <c r="AJ24" s="1138"/>
      <c r="AK24" s="1138"/>
      <c r="AL24" s="1138"/>
      <c r="AM24" s="1138"/>
      <c r="AN24" s="1138"/>
      <c r="AO24" s="1138"/>
      <c r="AP24" s="1138"/>
      <c r="AQ24" s="1138"/>
      <c r="AR24" s="1138"/>
      <c r="AS24" s="1138"/>
      <c r="AT24" s="1138"/>
      <c r="AU24" s="1138"/>
      <c r="AV24" s="1138"/>
      <c r="AW24" s="1138"/>
      <c r="AX24" s="1138"/>
      <c r="AY24" s="1138"/>
      <c r="AZ24" s="1138"/>
      <c r="BA24" s="1138"/>
      <c r="BB24" s="1138"/>
      <c r="BC24" s="1138"/>
      <c r="BD24" s="1138"/>
      <c r="BE24" s="1138"/>
      <c r="BF24" s="1138"/>
      <c r="BG24" s="1138"/>
      <c r="BH24" s="1138"/>
      <c r="BI24" s="1138"/>
      <c r="BJ24" s="1138"/>
      <c r="BK24" s="1138"/>
      <c r="BL24" s="1138"/>
      <c r="BM24" s="1138"/>
      <c r="BN24" s="1138"/>
      <c r="BO24" s="1138"/>
      <c r="BP24" s="1138"/>
      <c r="BQ24" s="1138"/>
      <c r="BR24" s="1138"/>
      <c r="BS24" s="1138"/>
      <c r="BT24" s="1138"/>
      <c r="BU24" s="1138"/>
      <c r="BV24" s="1138"/>
      <c r="BW24" s="1138"/>
      <c r="BX24" s="1138"/>
      <c r="BY24" s="1138"/>
      <c r="BZ24" s="1138"/>
      <c r="CA24" s="1138"/>
      <c r="CB24" s="1138"/>
    </row>
    <row r="25" spans="1:80" x14ac:dyDescent="0.3">
      <c r="B25" s="1002">
        <v>37</v>
      </c>
      <c r="C25" s="269" t="s">
        <v>324</v>
      </c>
      <c r="D25" s="269" t="s">
        <v>325</v>
      </c>
      <c r="E25" s="1138"/>
      <c r="F25" s="1138"/>
      <c r="G25" s="1138"/>
      <c r="H25" s="1138"/>
      <c r="I25" s="1138"/>
      <c r="J25" s="1138"/>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c r="AI25" s="1138"/>
      <c r="AJ25" s="1138"/>
      <c r="AK25" s="1138"/>
      <c r="AL25" s="1138"/>
      <c r="AM25" s="1138"/>
      <c r="AN25" s="1138"/>
      <c r="AO25" s="1138"/>
      <c r="AP25" s="1138"/>
      <c r="AQ25" s="1138"/>
      <c r="AR25" s="1138"/>
      <c r="AS25" s="1138"/>
      <c r="AT25" s="1138"/>
      <c r="AU25" s="1138"/>
      <c r="AV25" s="1138"/>
      <c r="AW25" s="1138"/>
      <c r="AX25" s="1138"/>
      <c r="AY25" s="1138"/>
      <c r="AZ25" s="1138"/>
      <c r="BA25" s="1138"/>
      <c r="BB25" s="1138"/>
      <c r="BC25" s="1138"/>
      <c r="BD25" s="1138"/>
      <c r="BE25" s="1138"/>
      <c r="BF25" s="1138"/>
      <c r="BG25" s="1138"/>
      <c r="BH25" s="1138"/>
      <c r="BI25" s="1138"/>
      <c r="BJ25" s="1138"/>
      <c r="BK25" s="1138"/>
      <c r="BL25" s="1138"/>
      <c r="BM25" s="1138"/>
      <c r="BN25" s="1138"/>
      <c r="BO25" s="1138"/>
      <c r="BP25" s="1138"/>
      <c r="BQ25" s="1138"/>
      <c r="BR25" s="1138"/>
      <c r="BS25" s="1138"/>
      <c r="BT25" s="1138"/>
      <c r="BU25" s="1138"/>
      <c r="BV25" s="1138"/>
      <c r="BW25" s="1138"/>
      <c r="BX25" s="1138"/>
      <c r="BY25" s="1138"/>
      <c r="BZ25" s="1138"/>
      <c r="CA25" s="1138"/>
      <c r="CB25" s="1138"/>
    </row>
    <row r="26" spans="1:80" x14ac:dyDescent="0.3">
      <c r="B26" s="1002">
        <v>38</v>
      </c>
      <c r="C26" s="269" t="s">
        <v>626</v>
      </c>
      <c r="D26" s="269" t="s">
        <v>326</v>
      </c>
      <c r="E26" s="1138"/>
      <c r="F26" s="1138"/>
      <c r="G26" s="1138"/>
      <c r="H26" s="1138"/>
      <c r="I26" s="1138"/>
      <c r="J26" s="1138"/>
      <c r="K26" s="1138"/>
      <c r="L26" s="1138"/>
      <c r="M26" s="1138"/>
      <c r="N26" s="1138"/>
      <c r="O26" s="1138"/>
      <c r="P26" s="1138"/>
      <c r="Q26" s="1138"/>
      <c r="R26" s="1138"/>
      <c r="S26" s="1138"/>
      <c r="T26" s="1138"/>
      <c r="U26" s="1138"/>
      <c r="V26" s="1138"/>
      <c r="W26" s="1138"/>
      <c r="X26" s="1138"/>
      <c r="Y26" s="1138"/>
      <c r="Z26" s="1138"/>
      <c r="AA26" s="1138"/>
      <c r="AB26" s="1138"/>
      <c r="AC26" s="1138"/>
      <c r="AD26" s="1138"/>
      <c r="AE26" s="1138"/>
      <c r="AF26" s="1138"/>
      <c r="AG26" s="1138"/>
      <c r="AH26" s="1138"/>
      <c r="AI26" s="1138"/>
      <c r="AJ26" s="1138"/>
      <c r="AK26" s="1138"/>
      <c r="AL26" s="1138"/>
      <c r="AM26" s="1138"/>
      <c r="AN26" s="1138"/>
      <c r="AO26" s="1138"/>
      <c r="AP26" s="1138"/>
      <c r="AQ26" s="1138"/>
      <c r="AR26" s="1138"/>
      <c r="AS26" s="1138"/>
      <c r="AT26" s="1138"/>
      <c r="AU26" s="1138"/>
      <c r="AV26" s="1138"/>
      <c r="AW26" s="1138"/>
      <c r="AX26" s="1138"/>
      <c r="AY26" s="1138"/>
      <c r="AZ26" s="1138"/>
      <c r="BA26" s="1138"/>
      <c r="BB26" s="1138"/>
      <c r="BC26" s="1138"/>
      <c r="BD26" s="1138"/>
      <c r="BE26" s="1138"/>
      <c r="BF26" s="1138"/>
      <c r="BG26" s="1138"/>
      <c r="BH26" s="1138"/>
      <c r="BI26" s="1138"/>
      <c r="BJ26" s="1138"/>
      <c r="BK26" s="1138"/>
      <c r="BL26" s="1138"/>
      <c r="BM26" s="1138"/>
      <c r="BN26" s="1138"/>
      <c r="BO26" s="1138"/>
      <c r="BP26" s="1138"/>
      <c r="BQ26" s="1138"/>
      <c r="BR26" s="1138"/>
      <c r="BS26" s="1138"/>
      <c r="BT26" s="1138"/>
      <c r="BU26" s="1138"/>
      <c r="BV26" s="1138"/>
      <c r="BW26" s="1138"/>
      <c r="BX26" s="1138"/>
      <c r="BY26" s="1138"/>
      <c r="BZ26" s="1138"/>
      <c r="CA26" s="1138"/>
      <c r="CB26" s="1138"/>
    </row>
    <row r="27" spans="1:80" x14ac:dyDescent="0.3">
      <c r="B27" s="1002">
        <v>39</v>
      </c>
      <c r="C27" s="269" t="s">
        <v>327</v>
      </c>
      <c r="D27" s="269" t="s">
        <v>328</v>
      </c>
      <c r="E27" s="1138"/>
      <c r="F27" s="1138"/>
      <c r="G27" s="1138"/>
      <c r="H27" s="1138"/>
      <c r="I27" s="1138"/>
      <c r="J27" s="1138"/>
      <c r="K27" s="1138"/>
      <c r="L27" s="1138"/>
      <c r="M27" s="1138"/>
      <c r="N27" s="1138"/>
      <c r="O27" s="1138"/>
      <c r="P27" s="1138"/>
      <c r="Q27" s="1138"/>
      <c r="R27" s="1138"/>
      <c r="S27" s="1138"/>
      <c r="T27" s="1138"/>
      <c r="U27" s="1138"/>
      <c r="V27" s="1138"/>
      <c r="W27" s="1138"/>
      <c r="X27" s="1138"/>
      <c r="Y27" s="1138"/>
      <c r="Z27" s="1138"/>
      <c r="AA27" s="1138"/>
      <c r="AB27" s="1138"/>
      <c r="AC27" s="1138"/>
      <c r="AD27" s="1138"/>
      <c r="AE27" s="1138"/>
      <c r="AF27" s="1138"/>
      <c r="AG27" s="1138"/>
      <c r="AH27" s="1138"/>
      <c r="AI27" s="1138"/>
      <c r="AJ27" s="1138"/>
      <c r="AK27" s="1138"/>
      <c r="AL27" s="1138"/>
      <c r="AM27" s="1138"/>
      <c r="AN27" s="1138"/>
      <c r="AO27" s="1138"/>
      <c r="AP27" s="1138"/>
      <c r="AQ27" s="1138"/>
      <c r="AR27" s="1138"/>
      <c r="AS27" s="1138"/>
      <c r="AT27" s="1138"/>
      <c r="AU27" s="1138"/>
      <c r="AV27" s="1138"/>
      <c r="AW27" s="1138"/>
      <c r="AX27" s="1138"/>
      <c r="AY27" s="1138"/>
      <c r="AZ27" s="1138"/>
      <c r="BA27" s="1138"/>
      <c r="BB27" s="1138"/>
      <c r="BC27" s="1138"/>
      <c r="BD27" s="1138"/>
      <c r="BE27" s="1138"/>
      <c r="BF27" s="1138"/>
      <c r="BG27" s="1138"/>
      <c r="BH27" s="1138"/>
      <c r="BI27" s="1138"/>
      <c r="BJ27" s="1138"/>
      <c r="BK27" s="1138"/>
      <c r="BL27" s="1138"/>
      <c r="BM27" s="1138"/>
      <c r="BN27" s="1138"/>
      <c r="BO27" s="1138"/>
      <c r="BP27" s="1138"/>
      <c r="BQ27" s="1138"/>
      <c r="BR27" s="1138"/>
      <c r="BS27" s="1138"/>
      <c r="BT27" s="1138"/>
      <c r="BU27" s="1138"/>
      <c r="BV27" s="1138"/>
      <c r="BW27" s="1138"/>
      <c r="BX27" s="1138"/>
      <c r="BY27" s="1138"/>
      <c r="BZ27" s="1138"/>
      <c r="CA27" s="1138"/>
      <c r="CB27" s="1138"/>
    </row>
    <row r="28" spans="1:80" x14ac:dyDescent="0.3">
      <c r="B28" s="1002">
        <v>40</v>
      </c>
      <c r="C28" s="269" t="s">
        <v>329</v>
      </c>
      <c r="D28" s="269" t="s">
        <v>330</v>
      </c>
      <c r="E28" s="1138"/>
      <c r="F28" s="1138"/>
      <c r="G28" s="1138"/>
      <c r="H28" s="1138"/>
      <c r="I28" s="1138"/>
      <c r="J28" s="1138"/>
      <c r="K28" s="1138"/>
      <c r="L28" s="1138"/>
      <c r="M28" s="1138"/>
      <c r="N28" s="1138"/>
      <c r="O28" s="1138"/>
      <c r="P28" s="1138"/>
      <c r="Q28" s="1138"/>
      <c r="R28" s="1138"/>
      <c r="S28" s="1138"/>
      <c r="T28" s="1138"/>
      <c r="U28" s="1138"/>
      <c r="V28" s="1138"/>
      <c r="W28" s="1138"/>
      <c r="X28" s="1138"/>
      <c r="Y28" s="1138"/>
      <c r="Z28" s="1138"/>
      <c r="AA28" s="1138"/>
      <c r="AB28" s="1138"/>
      <c r="AC28" s="1138"/>
      <c r="AD28" s="1138"/>
      <c r="AE28" s="1138"/>
      <c r="AF28" s="1138"/>
      <c r="AG28" s="1138"/>
      <c r="AH28" s="1138"/>
      <c r="AI28" s="1138"/>
      <c r="AJ28" s="1138"/>
      <c r="AK28" s="1138"/>
      <c r="AL28" s="1138"/>
      <c r="AM28" s="1138"/>
      <c r="AN28" s="1138"/>
      <c r="AO28" s="1138"/>
      <c r="AP28" s="1138"/>
      <c r="AQ28" s="1138"/>
      <c r="AR28" s="1138"/>
      <c r="AS28" s="1138"/>
      <c r="AT28" s="1138"/>
      <c r="AU28" s="1138"/>
      <c r="AV28" s="1138"/>
      <c r="AW28" s="1138"/>
      <c r="AX28" s="1138"/>
      <c r="AY28" s="1138"/>
      <c r="AZ28" s="1138"/>
      <c r="BA28" s="1138"/>
      <c r="BB28" s="1138"/>
      <c r="BC28" s="1138"/>
      <c r="BD28" s="1138"/>
      <c r="BE28" s="1138"/>
      <c r="BF28" s="1138"/>
      <c r="BG28" s="1138"/>
      <c r="BH28" s="1138"/>
      <c r="BI28" s="1138"/>
      <c r="BJ28" s="1138"/>
      <c r="BK28" s="1138"/>
      <c r="BL28" s="1138"/>
      <c r="BM28" s="1138"/>
      <c r="BN28" s="1138"/>
      <c r="BO28" s="1138"/>
      <c r="BP28" s="1138"/>
      <c r="BQ28" s="1138"/>
      <c r="BR28" s="1138"/>
      <c r="BS28" s="1138"/>
      <c r="BT28" s="1138"/>
      <c r="BU28" s="1138"/>
      <c r="BV28" s="1138"/>
      <c r="BW28" s="1138"/>
      <c r="BX28" s="1138"/>
      <c r="BY28" s="1138"/>
      <c r="BZ28" s="1138"/>
      <c r="CA28" s="1138"/>
      <c r="CB28" s="1138"/>
    </row>
    <row r="29" spans="1:80" x14ac:dyDescent="0.3">
      <c r="B29" s="1002">
        <v>41</v>
      </c>
      <c r="C29" s="269" t="s">
        <v>331</v>
      </c>
      <c r="D29" s="269" t="s">
        <v>332</v>
      </c>
      <c r="E29" s="1138"/>
      <c r="F29" s="1138"/>
      <c r="G29" s="1138"/>
      <c r="H29" s="1138"/>
      <c r="I29" s="1138"/>
      <c r="J29" s="1138"/>
      <c r="K29" s="1138"/>
      <c r="L29" s="1138"/>
      <c r="M29" s="1138"/>
      <c r="N29" s="1138"/>
      <c r="O29" s="1138"/>
      <c r="P29" s="1138"/>
      <c r="Q29" s="1138"/>
      <c r="R29" s="1138"/>
      <c r="S29" s="1138"/>
      <c r="T29" s="1138"/>
      <c r="U29" s="1138"/>
      <c r="V29" s="1138"/>
      <c r="W29" s="1138"/>
      <c r="X29" s="1138"/>
      <c r="Y29" s="1138"/>
      <c r="Z29" s="1138"/>
      <c r="AA29" s="1138"/>
      <c r="AB29" s="1138"/>
      <c r="AC29" s="1138"/>
      <c r="AD29" s="1138"/>
      <c r="AE29" s="1138"/>
      <c r="AF29" s="1138"/>
      <c r="AG29" s="1138"/>
      <c r="AH29" s="1138"/>
      <c r="AI29" s="1138"/>
      <c r="AJ29" s="1138"/>
      <c r="AK29" s="1138"/>
      <c r="AL29" s="1138"/>
      <c r="AM29" s="1138"/>
      <c r="AN29" s="1138"/>
      <c r="AO29" s="1138"/>
      <c r="AP29" s="1138"/>
      <c r="AQ29" s="1138"/>
      <c r="AR29" s="1138"/>
      <c r="AS29" s="1138"/>
      <c r="AT29" s="1138"/>
      <c r="AU29" s="1138"/>
      <c r="AV29" s="1138"/>
      <c r="AW29" s="1138"/>
      <c r="AX29" s="1138"/>
      <c r="AY29" s="1138"/>
      <c r="AZ29" s="1138"/>
      <c r="BA29" s="1138"/>
      <c r="BB29" s="1138"/>
      <c r="BC29" s="1138"/>
      <c r="BD29" s="1138"/>
      <c r="BE29" s="1138"/>
      <c r="BF29" s="1138"/>
      <c r="BG29" s="1138"/>
      <c r="BH29" s="1138"/>
      <c r="BI29" s="1138"/>
      <c r="BJ29" s="1138"/>
      <c r="BK29" s="1138"/>
      <c r="BL29" s="1138"/>
      <c r="BM29" s="1138"/>
      <c r="BN29" s="1138"/>
      <c r="BO29" s="1138"/>
      <c r="BP29" s="1138"/>
      <c r="BQ29" s="1138"/>
      <c r="BR29" s="1138"/>
      <c r="BS29" s="1138"/>
      <c r="BT29" s="1138"/>
      <c r="BU29" s="1138"/>
      <c r="BV29" s="1138"/>
      <c r="BW29" s="1138"/>
      <c r="BX29" s="1138"/>
      <c r="BY29" s="1138"/>
      <c r="BZ29" s="1138"/>
      <c r="CA29" s="1138"/>
      <c r="CB29" s="1138"/>
    </row>
    <row r="30" spans="1:80" x14ac:dyDescent="0.3">
      <c r="B30" s="1002">
        <v>43</v>
      </c>
      <c r="C30" s="269" t="s">
        <v>333</v>
      </c>
      <c r="D30" s="269" t="s">
        <v>334</v>
      </c>
      <c r="E30" s="1138"/>
      <c r="F30" s="1138"/>
      <c r="G30" s="1138"/>
      <c r="H30" s="1138"/>
      <c r="I30" s="1138"/>
      <c r="J30" s="1138"/>
      <c r="K30" s="1138"/>
      <c r="L30" s="1138"/>
      <c r="M30" s="1138"/>
      <c r="N30" s="1138"/>
      <c r="O30" s="1138"/>
      <c r="P30" s="1138"/>
      <c r="Q30" s="1138"/>
      <c r="R30" s="1138"/>
      <c r="S30" s="1138"/>
      <c r="T30" s="1138"/>
      <c r="U30" s="1138"/>
      <c r="V30" s="1138"/>
      <c r="W30" s="1138"/>
      <c r="X30" s="1138"/>
      <c r="Y30" s="1138"/>
      <c r="Z30" s="1138"/>
      <c r="AA30" s="1138"/>
      <c r="AB30" s="1138"/>
      <c r="AC30" s="1138"/>
      <c r="AD30" s="1138"/>
      <c r="AE30" s="1138"/>
      <c r="AF30" s="1138"/>
      <c r="AG30" s="1138"/>
      <c r="AH30" s="1138"/>
      <c r="AI30" s="1138"/>
      <c r="AJ30" s="1138"/>
      <c r="AK30" s="1138"/>
      <c r="AL30" s="1138"/>
      <c r="AM30" s="1138"/>
      <c r="AN30" s="1138"/>
      <c r="AO30" s="1138"/>
      <c r="AP30" s="1138"/>
      <c r="AQ30" s="1138"/>
      <c r="AR30" s="1138"/>
      <c r="AS30" s="1138"/>
      <c r="AT30" s="1138"/>
      <c r="AU30" s="1138"/>
      <c r="AV30" s="1138"/>
      <c r="AW30" s="1138"/>
      <c r="AX30" s="1138"/>
      <c r="AY30" s="1138"/>
      <c r="AZ30" s="1138"/>
      <c r="BA30" s="1138"/>
      <c r="BB30" s="1138"/>
      <c r="BC30" s="1138"/>
      <c r="BD30" s="1138"/>
      <c r="BE30" s="1138"/>
      <c r="BF30" s="1138"/>
      <c r="BG30" s="1138"/>
      <c r="BH30" s="1138"/>
      <c r="BI30" s="1138"/>
      <c r="BJ30" s="1138"/>
      <c r="BK30" s="1138"/>
      <c r="BL30" s="1138"/>
      <c r="BM30" s="1138"/>
      <c r="BN30" s="1138"/>
      <c r="BO30" s="1138"/>
      <c r="BP30" s="1138"/>
      <c r="BQ30" s="1138"/>
      <c r="BR30" s="1138"/>
      <c r="BS30" s="1138"/>
      <c r="BT30" s="1138"/>
      <c r="BU30" s="1138"/>
      <c r="BV30" s="1138"/>
      <c r="BW30" s="1138"/>
      <c r="BX30" s="1138"/>
      <c r="BY30" s="1138"/>
      <c r="BZ30" s="1138"/>
      <c r="CA30" s="1138"/>
      <c r="CB30" s="1138"/>
    </row>
    <row r="31" spans="1:80" x14ac:dyDescent="0.3">
      <c r="A31" s="269">
        <v>44</v>
      </c>
      <c r="B31" s="1002">
        <v>44</v>
      </c>
      <c r="C31" s="269" t="s">
        <v>627</v>
      </c>
      <c r="D31" s="269" t="s">
        <v>335</v>
      </c>
      <c r="E31" s="1138">
        <v>0</v>
      </c>
      <c r="F31" s="1138">
        <v>0</v>
      </c>
      <c r="G31" s="1138">
        <v>0</v>
      </c>
      <c r="H31" s="1138">
        <v>36379052</v>
      </c>
      <c r="I31" s="1138">
        <v>8307372</v>
      </c>
      <c r="J31" s="1138">
        <v>243633</v>
      </c>
      <c r="K31" s="1138">
        <v>5516454</v>
      </c>
      <c r="L31" s="1138">
        <v>925144</v>
      </c>
      <c r="M31" s="1138">
        <v>10574089</v>
      </c>
      <c r="N31" s="1138">
        <v>0</v>
      </c>
      <c r="O31" s="1138">
        <v>1638473</v>
      </c>
      <c r="P31" s="1138">
        <v>1008499</v>
      </c>
      <c r="Q31" s="1138">
        <v>0</v>
      </c>
      <c r="R31" s="1138">
        <v>8989647</v>
      </c>
      <c r="S31" s="1138">
        <v>7682977</v>
      </c>
      <c r="T31" s="1138">
        <v>7739057</v>
      </c>
      <c r="U31" s="1138">
        <v>0</v>
      </c>
      <c r="V31" s="1138">
        <v>7992876</v>
      </c>
      <c r="W31" s="1138">
        <v>0</v>
      </c>
      <c r="X31" s="1138">
        <v>0</v>
      </c>
      <c r="Y31" s="1138">
        <v>225204</v>
      </c>
      <c r="Z31" s="1138">
        <v>2572924</v>
      </c>
      <c r="AA31" s="1138">
        <v>1080401</v>
      </c>
      <c r="AB31" s="1138">
        <v>506834</v>
      </c>
      <c r="AC31" s="1138">
        <v>0</v>
      </c>
      <c r="AD31" s="1138">
        <v>89870</v>
      </c>
      <c r="AE31" s="1138">
        <v>1674537</v>
      </c>
      <c r="AF31" s="1138">
        <v>1205943</v>
      </c>
      <c r="AG31" s="1138">
        <v>67368</v>
      </c>
      <c r="AH31" s="1138">
        <v>0</v>
      </c>
      <c r="AI31" s="1138">
        <v>0</v>
      </c>
      <c r="AJ31" s="1138">
        <v>868276</v>
      </c>
      <c r="AK31" s="1138">
        <v>7450529</v>
      </c>
      <c r="AL31" s="1138">
        <v>396468</v>
      </c>
      <c r="AM31" s="1138">
        <v>0</v>
      </c>
      <c r="AN31" s="1138">
        <v>15602691</v>
      </c>
      <c r="AO31" s="1138">
        <v>9591368</v>
      </c>
      <c r="AP31" s="1138">
        <v>91513</v>
      </c>
      <c r="AQ31" s="1138">
        <v>0</v>
      </c>
      <c r="AR31" s="1138">
        <v>6965311</v>
      </c>
      <c r="AS31" s="1138">
        <v>1435585</v>
      </c>
      <c r="AT31" s="1138">
        <v>257387</v>
      </c>
      <c r="AU31" s="1138">
        <v>1393625</v>
      </c>
      <c r="AV31" s="1138">
        <v>11046482</v>
      </c>
      <c r="AW31" s="1138">
        <v>1084763</v>
      </c>
      <c r="AX31" s="1138">
        <v>245930</v>
      </c>
      <c r="AY31" s="1138">
        <v>1562977</v>
      </c>
      <c r="AZ31" s="1138">
        <v>878752</v>
      </c>
      <c r="BA31" s="1138">
        <v>2211300</v>
      </c>
      <c r="BB31" s="1138">
        <v>0</v>
      </c>
      <c r="BC31" s="1138">
        <v>0</v>
      </c>
      <c r="BD31" s="1138">
        <v>0</v>
      </c>
      <c r="BE31" s="1138">
        <v>0</v>
      </c>
      <c r="BF31" s="1138">
        <v>0</v>
      </c>
      <c r="BG31" s="1138">
        <v>31323</v>
      </c>
      <c r="BH31" s="1138">
        <v>0</v>
      </c>
      <c r="BI31" s="1138">
        <v>1024902</v>
      </c>
      <c r="BJ31" s="1138">
        <v>1942673</v>
      </c>
      <c r="BK31" s="1138">
        <v>0</v>
      </c>
      <c r="BL31" s="1138">
        <v>5240473</v>
      </c>
      <c r="BM31" s="1138">
        <v>2576961</v>
      </c>
      <c r="BN31" s="1138">
        <v>0</v>
      </c>
      <c r="BO31" s="1138">
        <v>2366257</v>
      </c>
      <c r="BP31" s="1138">
        <v>3888326</v>
      </c>
      <c r="BQ31" s="1138">
        <v>886896</v>
      </c>
      <c r="BR31" s="1138">
        <v>3462252</v>
      </c>
      <c r="BS31" s="1138">
        <v>0</v>
      </c>
      <c r="BT31" s="1138">
        <v>0</v>
      </c>
      <c r="BU31" s="1138">
        <v>1308558</v>
      </c>
      <c r="BV31" s="1138">
        <v>2343639</v>
      </c>
      <c r="BW31" s="1138">
        <v>183127</v>
      </c>
      <c r="BX31" s="1138">
        <v>1587780</v>
      </c>
      <c r="BY31" s="1138">
        <v>0</v>
      </c>
      <c r="BZ31" s="1138">
        <v>0</v>
      </c>
      <c r="CA31" s="1138">
        <v>10038366</v>
      </c>
      <c r="CB31" s="1138">
        <v>0</v>
      </c>
    </row>
    <row r="32" spans="1:80" x14ac:dyDescent="0.3">
      <c r="A32" s="269">
        <v>45</v>
      </c>
      <c r="B32" s="1002">
        <v>45</v>
      </c>
      <c r="C32" s="269" t="s">
        <v>628</v>
      </c>
      <c r="D32" s="269" t="s">
        <v>336</v>
      </c>
      <c r="E32" s="1138">
        <v>0</v>
      </c>
      <c r="F32" s="1138">
        <v>0</v>
      </c>
      <c r="G32" s="1138">
        <v>0</v>
      </c>
      <c r="H32" s="1138">
        <v>6455318</v>
      </c>
      <c r="I32" s="1138">
        <v>165984</v>
      </c>
      <c r="J32" s="1138">
        <v>27744</v>
      </c>
      <c r="K32" s="1138">
        <v>9243</v>
      </c>
      <c r="L32" s="1138">
        <v>430619</v>
      </c>
      <c r="M32" s="1138">
        <v>4294936</v>
      </c>
      <c r="N32" s="1138">
        <v>0</v>
      </c>
      <c r="O32" s="1138">
        <v>38612</v>
      </c>
      <c r="P32" s="1138">
        <v>30324</v>
      </c>
      <c r="Q32" s="1138">
        <v>0</v>
      </c>
      <c r="R32" s="1138">
        <v>347783</v>
      </c>
      <c r="S32" s="1138">
        <v>924542</v>
      </c>
      <c r="T32" s="1138">
        <v>1703354</v>
      </c>
      <c r="U32" s="1138">
        <v>0</v>
      </c>
      <c r="V32" s="1138">
        <v>2326380</v>
      </c>
      <c r="W32" s="1138">
        <v>0</v>
      </c>
      <c r="X32" s="1138">
        <v>0</v>
      </c>
      <c r="Y32" s="1138">
        <v>187869</v>
      </c>
      <c r="Z32" s="1138">
        <v>339271</v>
      </c>
      <c r="AA32" s="1138">
        <v>96257</v>
      </c>
      <c r="AB32" s="1138">
        <v>144685</v>
      </c>
      <c r="AC32" s="1138">
        <v>0</v>
      </c>
      <c r="AD32" s="1138">
        <v>5155</v>
      </c>
      <c r="AE32" s="1138">
        <v>203758</v>
      </c>
      <c r="AF32" s="1138">
        <v>734055</v>
      </c>
      <c r="AG32" s="1138">
        <v>785</v>
      </c>
      <c r="AH32" s="1138">
        <v>0</v>
      </c>
      <c r="AI32" s="1138">
        <v>0</v>
      </c>
      <c r="AJ32" s="1138">
        <v>37565</v>
      </c>
      <c r="AK32" s="1138">
        <v>994144</v>
      </c>
      <c r="AL32" s="1138">
        <v>19676</v>
      </c>
      <c r="AM32" s="1138">
        <v>0</v>
      </c>
      <c r="AN32" s="1138">
        <v>1145329</v>
      </c>
      <c r="AO32" s="1138">
        <v>1965636</v>
      </c>
      <c r="AP32" s="1138">
        <v>10777</v>
      </c>
      <c r="AQ32" s="1138">
        <v>0</v>
      </c>
      <c r="AR32" s="1138">
        <v>408258</v>
      </c>
      <c r="AS32" s="1138">
        <v>69083</v>
      </c>
      <c r="AT32" s="1138">
        <v>14577</v>
      </c>
      <c r="AU32" s="1138">
        <v>384845</v>
      </c>
      <c r="AV32" s="1138">
        <v>2818131</v>
      </c>
      <c r="AW32" s="1138">
        <v>35711</v>
      </c>
      <c r="AX32" s="1138">
        <v>45206</v>
      </c>
      <c r="AY32" s="1138">
        <v>48701</v>
      </c>
      <c r="AZ32" s="1138">
        <v>68128</v>
      </c>
      <c r="BA32" s="1138">
        <v>356636</v>
      </c>
      <c r="BB32" s="1138">
        <v>0</v>
      </c>
      <c r="BC32" s="1138">
        <v>0</v>
      </c>
      <c r="BD32" s="1138">
        <v>0</v>
      </c>
      <c r="BE32" s="1138">
        <v>0</v>
      </c>
      <c r="BF32" s="1138">
        <v>0</v>
      </c>
      <c r="BG32" s="1138">
        <v>63562</v>
      </c>
      <c r="BH32" s="1138">
        <v>0</v>
      </c>
      <c r="BI32" s="1138">
        <v>350835</v>
      </c>
      <c r="BJ32" s="1138">
        <v>181630</v>
      </c>
      <c r="BK32" s="1138">
        <v>0</v>
      </c>
      <c r="BL32" s="1138">
        <v>199800</v>
      </c>
      <c r="BM32" s="1138">
        <v>107293</v>
      </c>
      <c r="BN32" s="1138">
        <v>0</v>
      </c>
      <c r="BO32" s="1138">
        <v>445895</v>
      </c>
      <c r="BP32" s="1138">
        <v>240750</v>
      </c>
      <c r="BQ32" s="1138">
        <v>61429</v>
      </c>
      <c r="BR32" s="1138">
        <v>754240</v>
      </c>
      <c r="BS32" s="1138">
        <v>0</v>
      </c>
      <c r="BT32" s="1138">
        <v>0</v>
      </c>
      <c r="BU32" s="1138">
        <v>131669</v>
      </c>
      <c r="BV32" s="1138">
        <v>383880</v>
      </c>
      <c r="BW32" s="1138">
        <v>46822</v>
      </c>
      <c r="BX32" s="1138">
        <v>613188</v>
      </c>
      <c r="BY32" s="1138">
        <v>0</v>
      </c>
      <c r="BZ32" s="1138">
        <v>0</v>
      </c>
      <c r="CA32" s="1138">
        <v>1228570</v>
      </c>
      <c r="CB32" s="1138">
        <v>0</v>
      </c>
    </row>
    <row r="33" spans="1:80" x14ac:dyDescent="0.3">
      <c r="B33" s="1002">
        <v>46</v>
      </c>
      <c r="C33" s="269" t="s">
        <v>629</v>
      </c>
      <c r="D33" s="269" t="s">
        <v>337</v>
      </c>
      <c r="E33" s="1138"/>
      <c r="F33" s="1138"/>
      <c r="G33" s="1138"/>
      <c r="H33" s="1138"/>
      <c r="I33" s="1138"/>
      <c r="J33" s="1138"/>
      <c r="K33" s="1138"/>
      <c r="L33" s="1138"/>
      <c r="M33" s="1138"/>
      <c r="N33" s="1138"/>
      <c r="O33" s="1138"/>
      <c r="P33" s="1138"/>
      <c r="Q33" s="1138"/>
      <c r="R33" s="1138"/>
      <c r="S33" s="1138"/>
      <c r="T33" s="1138"/>
      <c r="U33" s="1138"/>
      <c r="V33" s="1138"/>
      <c r="W33" s="1138"/>
      <c r="X33" s="1138"/>
      <c r="Y33" s="1138"/>
      <c r="Z33" s="1138"/>
      <c r="AA33" s="1138"/>
      <c r="AB33" s="1138"/>
      <c r="AC33" s="1138"/>
      <c r="AD33" s="1138"/>
      <c r="AE33" s="1138"/>
      <c r="AF33" s="1138"/>
      <c r="AG33" s="1138"/>
      <c r="AH33" s="1138"/>
      <c r="AI33" s="1138"/>
      <c r="AJ33" s="1138"/>
      <c r="AK33" s="1138"/>
      <c r="AL33" s="1138"/>
      <c r="AM33" s="1138"/>
      <c r="AN33" s="1138"/>
      <c r="AO33" s="1138"/>
      <c r="AP33" s="1138"/>
      <c r="AQ33" s="1138"/>
      <c r="AR33" s="1138"/>
      <c r="AS33" s="1138"/>
      <c r="AT33" s="1138"/>
      <c r="AU33" s="1138"/>
      <c r="AV33" s="1138"/>
      <c r="AW33" s="1138"/>
      <c r="AX33" s="1138"/>
      <c r="AY33" s="1138"/>
      <c r="AZ33" s="1138"/>
      <c r="BA33" s="1138"/>
      <c r="BB33" s="1138"/>
      <c r="BC33" s="1138"/>
      <c r="BD33" s="1138"/>
      <c r="BE33" s="1138"/>
      <c r="BF33" s="1138"/>
      <c r="BG33" s="1138"/>
      <c r="BH33" s="1138"/>
      <c r="BI33" s="1138"/>
      <c r="BJ33" s="1138"/>
      <c r="BK33" s="1138"/>
      <c r="BL33" s="1138"/>
      <c r="BM33" s="1138"/>
      <c r="BN33" s="1138"/>
      <c r="BO33" s="1138"/>
      <c r="BP33" s="1138"/>
      <c r="BQ33" s="1138"/>
      <c r="BR33" s="1138"/>
      <c r="BS33" s="1138"/>
      <c r="BT33" s="1138"/>
      <c r="BU33" s="1138"/>
      <c r="BV33" s="1138"/>
      <c r="BW33" s="1138"/>
      <c r="BX33" s="1138"/>
      <c r="BY33" s="1138"/>
      <c r="BZ33" s="1138"/>
      <c r="CA33" s="1138"/>
      <c r="CB33" s="1138"/>
    </row>
    <row r="34" spans="1:80" x14ac:dyDescent="0.3">
      <c r="A34" s="269">
        <v>47</v>
      </c>
      <c r="B34" s="1002">
        <v>47</v>
      </c>
      <c r="C34" s="269" t="s">
        <v>630</v>
      </c>
      <c r="D34" s="269" t="s">
        <v>338</v>
      </c>
      <c r="E34" s="1138">
        <v>0</v>
      </c>
      <c r="F34" s="1138">
        <v>0</v>
      </c>
      <c r="G34" s="1138">
        <v>0</v>
      </c>
      <c r="H34" s="1138">
        <v>0</v>
      </c>
      <c r="I34" s="1138">
        <v>0</v>
      </c>
      <c r="J34" s="1138">
        <v>0</v>
      </c>
      <c r="K34" s="1138">
        <v>0</v>
      </c>
      <c r="L34" s="1138">
        <v>0</v>
      </c>
      <c r="M34" s="1138">
        <v>0</v>
      </c>
      <c r="N34" s="1138">
        <v>0</v>
      </c>
      <c r="O34" s="1138">
        <v>0</v>
      </c>
      <c r="P34" s="1138">
        <v>0</v>
      </c>
      <c r="Q34" s="1138">
        <v>0</v>
      </c>
      <c r="R34" s="1138">
        <v>0</v>
      </c>
      <c r="S34" s="1138">
        <v>0</v>
      </c>
      <c r="T34" s="1138">
        <v>5999827</v>
      </c>
      <c r="U34" s="1138">
        <v>0</v>
      </c>
      <c r="V34" s="1138">
        <v>27984530</v>
      </c>
      <c r="W34" s="1138">
        <v>0</v>
      </c>
      <c r="X34" s="1138">
        <v>0</v>
      </c>
      <c r="Y34" s="1138">
        <v>0</v>
      </c>
      <c r="Z34" s="1138">
        <v>0</v>
      </c>
      <c r="AA34" s="1138">
        <v>1280837</v>
      </c>
      <c r="AB34" s="1138">
        <v>943372</v>
      </c>
      <c r="AC34" s="1138">
        <v>0</v>
      </c>
      <c r="AD34" s="1138">
        <v>0</v>
      </c>
      <c r="AE34" s="1138">
        <v>0</v>
      </c>
      <c r="AF34" s="1138">
        <v>1270998</v>
      </c>
      <c r="AG34" s="1138">
        <v>0</v>
      </c>
      <c r="AH34" s="1138">
        <v>0</v>
      </c>
      <c r="AI34" s="1138">
        <v>0</v>
      </c>
      <c r="AJ34" s="1138">
        <v>0</v>
      </c>
      <c r="AK34" s="1138">
        <v>6260352</v>
      </c>
      <c r="AL34" s="1138">
        <v>0</v>
      </c>
      <c r="AM34" s="1138">
        <v>0</v>
      </c>
      <c r="AN34" s="1138">
        <v>0</v>
      </c>
      <c r="AO34" s="1138">
        <v>0</v>
      </c>
      <c r="AP34" s="1138">
        <v>0</v>
      </c>
      <c r="AQ34" s="1138">
        <v>0</v>
      </c>
      <c r="AR34" s="1138">
        <v>20837411</v>
      </c>
      <c r="AS34" s="1138">
        <v>0</v>
      </c>
      <c r="AT34" s="1138">
        <v>0</v>
      </c>
      <c r="AU34" s="1138">
        <v>0</v>
      </c>
      <c r="AV34" s="1138">
        <v>4276362</v>
      </c>
      <c r="AW34" s="1138">
        <v>0</v>
      </c>
      <c r="AX34" s="1138">
        <v>0</v>
      </c>
      <c r="AY34" s="1138">
        <v>0</v>
      </c>
      <c r="AZ34" s="1138">
        <v>0</v>
      </c>
      <c r="BA34" s="1138">
        <v>2670415</v>
      </c>
      <c r="BB34" s="1138">
        <v>0</v>
      </c>
      <c r="BC34" s="1138">
        <v>0</v>
      </c>
      <c r="BD34" s="1138">
        <v>0</v>
      </c>
      <c r="BE34" s="1138">
        <v>0</v>
      </c>
      <c r="BF34" s="1138">
        <v>0</v>
      </c>
      <c r="BG34" s="1138">
        <v>407446</v>
      </c>
      <c r="BH34" s="1138">
        <v>0</v>
      </c>
      <c r="BI34" s="1138">
        <v>0</v>
      </c>
      <c r="BJ34" s="1138">
        <v>0</v>
      </c>
      <c r="BK34" s="1138">
        <v>0</v>
      </c>
      <c r="BL34" s="1138">
        <v>2363881</v>
      </c>
      <c r="BM34" s="1138">
        <v>0</v>
      </c>
      <c r="BN34" s="1138">
        <v>0</v>
      </c>
      <c r="BO34" s="1138">
        <v>0</v>
      </c>
      <c r="BP34" s="1138">
        <v>0</v>
      </c>
      <c r="BQ34" s="1138">
        <v>0</v>
      </c>
      <c r="BR34" s="1138">
        <v>0</v>
      </c>
      <c r="BS34" s="1138">
        <v>0</v>
      </c>
      <c r="BT34" s="1138">
        <v>0</v>
      </c>
      <c r="BU34" s="1138">
        <v>0</v>
      </c>
      <c r="BV34" s="1138">
        <v>0</v>
      </c>
      <c r="BW34" s="1138">
        <v>0</v>
      </c>
      <c r="BX34" s="1138">
        <v>0</v>
      </c>
      <c r="BY34" s="1138">
        <v>0</v>
      </c>
      <c r="BZ34" s="1138">
        <v>0</v>
      </c>
      <c r="CA34" s="1138">
        <v>0</v>
      </c>
      <c r="CB34" s="1138">
        <v>0</v>
      </c>
    </row>
    <row r="35" spans="1:80" x14ac:dyDescent="0.3">
      <c r="A35" s="269">
        <v>48</v>
      </c>
      <c r="B35" s="1002">
        <v>48</v>
      </c>
      <c r="C35" s="269" t="s">
        <v>123</v>
      </c>
      <c r="D35" s="269" t="s">
        <v>339</v>
      </c>
      <c r="E35" s="1138">
        <v>0</v>
      </c>
      <c r="F35" s="1138">
        <v>0</v>
      </c>
      <c r="G35" s="1138">
        <v>0</v>
      </c>
      <c r="H35" s="1138">
        <v>0</v>
      </c>
      <c r="I35" s="1138">
        <v>0</v>
      </c>
      <c r="J35" s="1138">
        <v>0</v>
      </c>
      <c r="K35" s="1138">
        <v>0</v>
      </c>
      <c r="L35" s="1138">
        <v>0</v>
      </c>
      <c r="M35" s="1138">
        <v>0</v>
      </c>
      <c r="N35" s="1138">
        <v>0</v>
      </c>
      <c r="O35" s="1138">
        <v>0</v>
      </c>
      <c r="P35" s="1138">
        <v>0</v>
      </c>
      <c r="Q35" s="1138">
        <v>0</v>
      </c>
      <c r="R35" s="1138">
        <v>0</v>
      </c>
      <c r="S35" s="1138">
        <v>0</v>
      </c>
      <c r="T35" s="1138">
        <v>897748</v>
      </c>
      <c r="U35" s="1138">
        <v>0</v>
      </c>
      <c r="V35" s="1138">
        <v>5508967</v>
      </c>
      <c r="W35" s="1138">
        <v>0</v>
      </c>
      <c r="X35" s="1138">
        <v>0</v>
      </c>
      <c r="Y35" s="1138">
        <v>0</v>
      </c>
      <c r="Z35" s="1138">
        <v>0</v>
      </c>
      <c r="AA35" s="1138">
        <v>327270</v>
      </c>
      <c r="AB35" s="1138">
        <v>466727</v>
      </c>
      <c r="AC35" s="1138">
        <v>0</v>
      </c>
      <c r="AD35" s="1138">
        <v>0</v>
      </c>
      <c r="AE35" s="1138">
        <v>0</v>
      </c>
      <c r="AF35" s="1138">
        <v>537265</v>
      </c>
      <c r="AG35" s="1138">
        <v>0</v>
      </c>
      <c r="AH35" s="1138">
        <v>0</v>
      </c>
      <c r="AI35" s="1138">
        <v>0</v>
      </c>
      <c r="AJ35" s="1138">
        <v>0</v>
      </c>
      <c r="AK35" s="1138">
        <v>1277706</v>
      </c>
      <c r="AL35" s="1138">
        <v>0</v>
      </c>
      <c r="AM35" s="1138">
        <v>0</v>
      </c>
      <c r="AN35" s="1138">
        <v>0</v>
      </c>
      <c r="AO35" s="1138">
        <v>0</v>
      </c>
      <c r="AP35" s="1138">
        <v>0</v>
      </c>
      <c r="AQ35" s="1138">
        <v>0</v>
      </c>
      <c r="AR35" s="1138">
        <v>5498603</v>
      </c>
      <c r="AS35" s="1138">
        <v>0</v>
      </c>
      <c r="AT35" s="1138">
        <v>0</v>
      </c>
      <c r="AU35" s="1138">
        <v>0</v>
      </c>
      <c r="AV35" s="1138">
        <v>730857</v>
      </c>
      <c r="AW35" s="1138">
        <v>0</v>
      </c>
      <c r="AX35" s="1138">
        <v>0</v>
      </c>
      <c r="AY35" s="1138">
        <v>0</v>
      </c>
      <c r="AZ35" s="1138">
        <v>0</v>
      </c>
      <c r="BA35" s="1138">
        <v>534929</v>
      </c>
      <c r="BB35" s="1138">
        <v>0</v>
      </c>
      <c r="BC35" s="1138">
        <v>0</v>
      </c>
      <c r="BD35" s="1138">
        <v>0</v>
      </c>
      <c r="BE35" s="1138">
        <v>0</v>
      </c>
      <c r="BF35" s="1138">
        <v>0</v>
      </c>
      <c r="BG35" s="1138">
        <v>28668</v>
      </c>
      <c r="BH35" s="1138">
        <v>0</v>
      </c>
      <c r="BI35" s="1138">
        <v>0</v>
      </c>
      <c r="BJ35" s="1138">
        <v>0</v>
      </c>
      <c r="BK35" s="1138">
        <v>0</v>
      </c>
      <c r="BL35" s="1138">
        <v>145621</v>
      </c>
      <c r="BM35" s="1138">
        <v>0</v>
      </c>
      <c r="BN35" s="1138">
        <v>0</v>
      </c>
      <c r="BO35" s="1138">
        <v>0</v>
      </c>
      <c r="BP35" s="1138">
        <v>0</v>
      </c>
      <c r="BQ35" s="1138">
        <v>0</v>
      </c>
      <c r="BR35" s="1138">
        <v>0</v>
      </c>
      <c r="BS35" s="1138">
        <v>0</v>
      </c>
      <c r="BT35" s="1138">
        <v>0</v>
      </c>
      <c r="BU35" s="1138">
        <v>0</v>
      </c>
      <c r="BV35" s="1138">
        <v>0</v>
      </c>
      <c r="BW35" s="1138">
        <v>0</v>
      </c>
      <c r="BX35" s="1138">
        <v>0</v>
      </c>
      <c r="BY35" s="1138">
        <v>0</v>
      </c>
      <c r="BZ35" s="1138">
        <v>0</v>
      </c>
      <c r="CA35" s="1138">
        <v>0</v>
      </c>
      <c r="CB35" s="1138">
        <v>0</v>
      </c>
    </row>
    <row r="36" spans="1:80" x14ac:dyDescent="0.3">
      <c r="A36" s="269">
        <v>49</v>
      </c>
      <c r="B36" s="1002">
        <v>49</v>
      </c>
      <c r="C36" s="269" t="s">
        <v>228</v>
      </c>
      <c r="D36" s="269" t="s">
        <v>340</v>
      </c>
      <c r="E36" s="1138">
        <v>0</v>
      </c>
      <c r="F36" s="1138">
        <v>0</v>
      </c>
      <c r="G36" s="1138">
        <v>0</v>
      </c>
      <c r="H36" s="1138">
        <v>8503830</v>
      </c>
      <c r="I36" s="1138">
        <v>591439</v>
      </c>
      <c r="J36" s="1138">
        <v>19398</v>
      </c>
      <c r="K36" s="1138">
        <v>236436</v>
      </c>
      <c r="L36" s="1138">
        <v>153094</v>
      </c>
      <c r="M36" s="1138">
        <v>2758552</v>
      </c>
      <c r="N36" s="1138">
        <v>0</v>
      </c>
      <c r="O36" s="1138">
        <v>131239</v>
      </c>
      <c r="P36" s="1138">
        <v>223024</v>
      </c>
      <c r="Q36" s="1138">
        <v>0</v>
      </c>
      <c r="R36" s="1138">
        <v>721956</v>
      </c>
      <c r="S36" s="1138">
        <v>1029190</v>
      </c>
      <c r="T36" s="1138">
        <v>2738347</v>
      </c>
      <c r="U36" s="1138">
        <v>0</v>
      </c>
      <c r="V36" s="1138">
        <v>2875515</v>
      </c>
      <c r="W36" s="1138">
        <v>0</v>
      </c>
      <c r="X36" s="1138">
        <v>0</v>
      </c>
      <c r="Y36" s="1138">
        <v>0</v>
      </c>
      <c r="Z36" s="1138">
        <v>252643</v>
      </c>
      <c r="AA36" s="1138">
        <v>401506</v>
      </c>
      <c r="AB36" s="1138">
        <v>301705</v>
      </c>
      <c r="AC36" s="1138">
        <v>0</v>
      </c>
      <c r="AD36" s="1138">
        <v>4009</v>
      </c>
      <c r="AE36" s="1138">
        <v>302061</v>
      </c>
      <c r="AF36" s="1138">
        <v>556143</v>
      </c>
      <c r="AG36" s="1138">
        <v>25726</v>
      </c>
      <c r="AH36" s="1138">
        <v>0</v>
      </c>
      <c r="AI36" s="1138">
        <v>0</v>
      </c>
      <c r="AJ36" s="1138">
        <v>65383</v>
      </c>
      <c r="AK36" s="1138">
        <v>1535376</v>
      </c>
      <c r="AL36" s="1138">
        <v>52740</v>
      </c>
      <c r="AM36" s="1138">
        <v>0</v>
      </c>
      <c r="AN36" s="1138">
        <v>1611344</v>
      </c>
      <c r="AO36" s="1138">
        <v>1428765</v>
      </c>
      <c r="AP36" s="1138">
        <v>10832</v>
      </c>
      <c r="AQ36" s="1138">
        <v>0</v>
      </c>
      <c r="AR36" s="1138">
        <v>1261484</v>
      </c>
      <c r="AS36" s="1138">
        <v>256265</v>
      </c>
      <c r="AT36" s="1138">
        <v>120440</v>
      </c>
      <c r="AU36" s="1138">
        <v>256769</v>
      </c>
      <c r="AV36" s="1138">
        <v>1657257</v>
      </c>
      <c r="AW36" s="1138">
        <v>60968</v>
      </c>
      <c r="AX36" s="1138">
        <v>175643</v>
      </c>
      <c r="AY36" s="1138">
        <v>287292</v>
      </c>
      <c r="AZ36" s="1138">
        <v>341453</v>
      </c>
      <c r="BA36" s="1138">
        <v>541181</v>
      </c>
      <c r="BB36" s="1138">
        <v>0</v>
      </c>
      <c r="BC36" s="1138">
        <v>0</v>
      </c>
      <c r="BD36" s="1138">
        <v>0</v>
      </c>
      <c r="BE36" s="1138">
        <v>0</v>
      </c>
      <c r="BF36" s="1138">
        <v>0</v>
      </c>
      <c r="BG36" s="1138">
        <v>106319</v>
      </c>
      <c r="BH36" s="1138">
        <v>0</v>
      </c>
      <c r="BI36" s="1138">
        <v>293991</v>
      </c>
      <c r="BJ36" s="1138">
        <v>183675</v>
      </c>
      <c r="BK36" s="1138">
        <v>0</v>
      </c>
      <c r="BL36" s="1138">
        <v>359919</v>
      </c>
      <c r="BM36" s="1138">
        <v>310258</v>
      </c>
      <c r="BN36" s="1138">
        <v>0</v>
      </c>
      <c r="BO36" s="1138">
        <v>894589</v>
      </c>
      <c r="BP36" s="1138">
        <v>284251</v>
      </c>
      <c r="BQ36" s="1138">
        <v>272850</v>
      </c>
      <c r="BR36" s="1138">
        <v>167773</v>
      </c>
      <c r="BS36" s="1138">
        <v>0</v>
      </c>
      <c r="BT36" s="1138">
        <v>0</v>
      </c>
      <c r="BU36" s="1138">
        <v>248586</v>
      </c>
      <c r="BV36" s="1138">
        <v>559540</v>
      </c>
      <c r="BW36" s="1138">
        <v>143074</v>
      </c>
      <c r="BX36" s="1138">
        <v>33834</v>
      </c>
      <c r="BY36" s="1138">
        <v>0</v>
      </c>
      <c r="BZ36" s="1138">
        <v>0</v>
      </c>
      <c r="CA36" s="1138">
        <v>1488275</v>
      </c>
      <c r="CB36" s="1138">
        <v>0</v>
      </c>
    </row>
    <row r="37" spans="1:80" x14ac:dyDescent="0.3">
      <c r="A37" s="269">
        <v>50</v>
      </c>
      <c r="B37" s="1002">
        <v>50</v>
      </c>
      <c r="C37" s="269" t="s">
        <v>100</v>
      </c>
      <c r="D37" s="269" t="s">
        <v>341</v>
      </c>
      <c r="E37" s="1138">
        <v>0</v>
      </c>
      <c r="F37" s="1138">
        <v>0</v>
      </c>
      <c r="G37" s="1138">
        <v>0</v>
      </c>
      <c r="H37" s="1138">
        <v>3932536</v>
      </c>
      <c r="I37" s="1138">
        <v>1287972</v>
      </c>
      <c r="J37" s="1138">
        <v>945</v>
      </c>
      <c r="K37" s="1138">
        <v>323757</v>
      </c>
      <c r="L37" s="1138">
        <v>40157</v>
      </c>
      <c r="M37" s="1138">
        <v>1790020</v>
      </c>
      <c r="N37" s="1138">
        <v>0</v>
      </c>
      <c r="O37" s="1138">
        <v>42517</v>
      </c>
      <c r="P37" s="1138">
        <v>48886</v>
      </c>
      <c r="Q37" s="1138">
        <v>0</v>
      </c>
      <c r="R37" s="1138">
        <v>1375674</v>
      </c>
      <c r="S37" s="1138">
        <v>552715</v>
      </c>
      <c r="T37" s="1138">
        <v>673383</v>
      </c>
      <c r="U37" s="1138">
        <v>0</v>
      </c>
      <c r="V37" s="1138">
        <v>-2855074</v>
      </c>
      <c r="W37" s="1138">
        <v>0</v>
      </c>
      <c r="X37" s="1138">
        <v>0</v>
      </c>
      <c r="Y37" s="1138">
        <v>-58489</v>
      </c>
      <c r="Z37" s="1138">
        <v>302092</v>
      </c>
      <c r="AA37" s="1138">
        <v>165799</v>
      </c>
      <c r="AB37" s="1138">
        <v>-863629</v>
      </c>
      <c r="AC37" s="1138">
        <v>0</v>
      </c>
      <c r="AD37" s="1138">
        <v>-6905</v>
      </c>
      <c r="AE37" s="1138">
        <v>-59169</v>
      </c>
      <c r="AF37" s="1138">
        <v>128296</v>
      </c>
      <c r="AG37" s="1138">
        <v>-12826</v>
      </c>
      <c r="AH37" s="1138">
        <v>0</v>
      </c>
      <c r="AI37" s="1138">
        <v>0</v>
      </c>
      <c r="AJ37" s="1138">
        <v>44700</v>
      </c>
      <c r="AK37" s="1138">
        <v>2154827</v>
      </c>
      <c r="AL37" s="1138">
        <v>-48841</v>
      </c>
      <c r="AM37" s="1138">
        <v>0</v>
      </c>
      <c r="AN37" s="1138">
        <v>2188970</v>
      </c>
      <c r="AO37" s="1138">
        <v>2124827</v>
      </c>
      <c r="AP37" s="1138">
        <v>28941</v>
      </c>
      <c r="AQ37" s="1138">
        <v>0</v>
      </c>
      <c r="AR37" s="1138">
        <v>4582005</v>
      </c>
      <c r="AS37" s="1138">
        <v>-159349</v>
      </c>
      <c r="AT37" s="1138">
        <v>-106144</v>
      </c>
      <c r="AU37" s="1138">
        <v>-583397</v>
      </c>
      <c r="AV37" s="1138">
        <v>1317599</v>
      </c>
      <c r="AW37" s="1138">
        <v>55488</v>
      </c>
      <c r="AX37" s="1138">
        <v>-155933</v>
      </c>
      <c r="AY37" s="1138">
        <v>951447</v>
      </c>
      <c r="AZ37" s="1138">
        <v>1219995</v>
      </c>
      <c r="BA37" s="1138">
        <v>-180704</v>
      </c>
      <c r="BB37" s="1138">
        <v>0</v>
      </c>
      <c r="BC37" s="1138">
        <v>0</v>
      </c>
      <c r="BD37" s="1138">
        <v>0</v>
      </c>
      <c r="BE37" s="1138">
        <v>0</v>
      </c>
      <c r="BF37" s="1138">
        <v>0</v>
      </c>
      <c r="BG37" s="1138">
        <v>-103895</v>
      </c>
      <c r="BH37" s="1138">
        <v>0</v>
      </c>
      <c r="BI37" s="1138">
        <v>172067</v>
      </c>
      <c r="BJ37" s="1138">
        <v>154002</v>
      </c>
      <c r="BK37" s="1138">
        <v>0</v>
      </c>
      <c r="BL37" s="1138">
        <v>-25593</v>
      </c>
      <c r="BM37" s="1138">
        <v>144889</v>
      </c>
      <c r="BN37" s="1138">
        <v>0</v>
      </c>
      <c r="BO37" s="1138">
        <v>-36880</v>
      </c>
      <c r="BP37" s="1138">
        <v>797625</v>
      </c>
      <c r="BQ37" s="1138">
        <v>1280839</v>
      </c>
      <c r="BR37" s="1138">
        <v>228724</v>
      </c>
      <c r="BS37" s="1138">
        <v>0</v>
      </c>
      <c r="BT37" s="1138">
        <v>0</v>
      </c>
      <c r="BU37" s="1138">
        <v>410207</v>
      </c>
      <c r="BV37" s="1138">
        <v>192300</v>
      </c>
      <c r="BW37" s="1138">
        <v>93984</v>
      </c>
      <c r="BX37" s="1138">
        <v>1360230</v>
      </c>
      <c r="BY37" s="1138">
        <v>0</v>
      </c>
      <c r="BZ37" s="1138">
        <v>0</v>
      </c>
      <c r="CA37" s="1138">
        <v>655821</v>
      </c>
      <c r="CB37" s="1138">
        <v>0</v>
      </c>
    </row>
    <row r="38" spans="1:80" x14ac:dyDescent="0.3">
      <c r="A38" s="269">
        <v>51</v>
      </c>
      <c r="B38" s="1002">
        <v>51</v>
      </c>
      <c r="C38" s="269" t="s">
        <v>246</v>
      </c>
      <c r="D38" s="269" t="s">
        <v>342</v>
      </c>
      <c r="E38" s="1138">
        <v>0</v>
      </c>
      <c r="F38" s="1138">
        <v>0</v>
      </c>
      <c r="G38" s="1138">
        <v>0</v>
      </c>
      <c r="H38" s="1138">
        <v>11875639</v>
      </c>
      <c r="I38" s="1138">
        <v>1718527</v>
      </c>
      <c r="J38" s="1138">
        <v>15916</v>
      </c>
      <c r="K38" s="1138">
        <v>267350</v>
      </c>
      <c r="L38" s="1138">
        <v>329988</v>
      </c>
      <c r="M38" s="1138">
        <v>3530260</v>
      </c>
      <c r="N38" s="1138">
        <v>0</v>
      </c>
      <c r="O38" s="1138">
        <v>140119</v>
      </c>
      <c r="P38" s="1138">
        <v>161135</v>
      </c>
      <c r="Q38" s="1138">
        <v>0</v>
      </c>
      <c r="R38" s="1138">
        <v>1398881</v>
      </c>
      <c r="S38" s="1138">
        <v>1432194</v>
      </c>
      <c r="T38" s="1138">
        <v>3285160</v>
      </c>
      <c r="U38" s="1138">
        <v>0</v>
      </c>
      <c r="V38" s="1138">
        <v>1211118</v>
      </c>
      <c r="W38" s="1138">
        <v>0</v>
      </c>
      <c r="X38" s="1138">
        <v>0</v>
      </c>
      <c r="Y38" s="1138">
        <v>0</v>
      </c>
      <c r="Z38" s="1138">
        <v>460447</v>
      </c>
      <c r="AA38" s="1138">
        <v>578745</v>
      </c>
      <c r="AB38" s="1138">
        <v>517136</v>
      </c>
      <c r="AC38" s="1138">
        <v>0</v>
      </c>
      <c r="AD38" s="1138">
        <v>11544</v>
      </c>
      <c r="AE38" s="1138">
        <v>249235</v>
      </c>
      <c r="AF38" s="1138">
        <v>693214</v>
      </c>
      <c r="AG38" s="1138">
        <v>5955</v>
      </c>
      <c r="AH38" s="1138">
        <v>0</v>
      </c>
      <c r="AI38" s="1138">
        <v>0</v>
      </c>
      <c r="AJ38" s="1138">
        <v>62048</v>
      </c>
      <c r="AK38" s="1138">
        <v>3263406</v>
      </c>
      <c r="AL38" s="1138">
        <v>-793</v>
      </c>
      <c r="AM38" s="1138">
        <v>0</v>
      </c>
      <c r="AN38" s="1138">
        <v>3431377</v>
      </c>
      <c r="AO38" s="1138">
        <v>3489001</v>
      </c>
      <c r="AP38" s="1138">
        <v>21248</v>
      </c>
      <c r="AQ38" s="1138">
        <v>0</v>
      </c>
      <c r="AR38" s="1138">
        <v>2054393</v>
      </c>
      <c r="AS38" s="1138">
        <v>10835</v>
      </c>
      <c r="AT38" s="1138">
        <v>27908</v>
      </c>
      <c r="AU38" s="1138">
        <v>-56972</v>
      </c>
      <c r="AV38" s="1138">
        <v>3114375</v>
      </c>
      <c r="AW38" s="1138">
        <v>116593</v>
      </c>
      <c r="AX38" s="1138">
        <v>4011</v>
      </c>
      <c r="AY38" s="1138">
        <v>1234412</v>
      </c>
      <c r="AZ38" s="1138">
        <v>207857</v>
      </c>
      <c r="BA38" s="1138">
        <v>454333</v>
      </c>
      <c r="BB38" s="1138">
        <v>0</v>
      </c>
      <c r="BC38" s="1138">
        <v>0</v>
      </c>
      <c r="BD38" s="1138">
        <v>0</v>
      </c>
      <c r="BE38" s="1138">
        <v>0</v>
      </c>
      <c r="BF38" s="1138">
        <v>0</v>
      </c>
      <c r="BG38" s="1138">
        <v>-34931</v>
      </c>
      <c r="BH38" s="1138">
        <v>0</v>
      </c>
      <c r="BI38" s="1138">
        <v>283752</v>
      </c>
      <c r="BJ38" s="1138">
        <v>349881</v>
      </c>
      <c r="BK38" s="1138">
        <v>0</v>
      </c>
      <c r="BL38" s="1138">
        <v>550459</v>
      </c>
      <c r="BM38" s="1138">
        <v>548929</v>
      </c>
      <c r="BN38" s="1138">
        <v>0</v>
      </c>
      <c r="BO38" s="1138">
        <v>697233</v>
      </c>
      <c r="BP38" s="1138">
        <v>186312</v>
      </c>
      <c r="BQ38" s="1138">
        <v>197026</v>
      </c>
      <c r="BR38" s="1138">
        <v>349264</v>
      </c>
      <c r="BS38" s="1138">
        <v>0</v>
      </c>
      <c r="BT38" s="1138">
        <v>0</v>
      </c>
      <c r="BU38" s="1138">
        <v>70337</v>
      </c>
      <c r="BV38" s="1138">
        <v>564544</v>
      </c>
      <c r="BW38" s="1138">
        <v>120596</v>
      </c>
      <c r="BX38" s="1138">
        <v>198471</v>
      </c>
      <c r="BY38" s="1138">
        <v>0</v>
      </c>
      <c r="BZ38" s="1138">
        <v>0</v>
      </c>
      <c r="CA38" s="1138">
        <v>1860081</v>
      </c>
      <c r="CB38" s="1138">
        <v>0</v>
      </c>
    </row>
    <row r="39" spans="1:80" x14ac:dyDescent="0.3">
      <c r="A39" s="269">
        <v>52</v>
      </c>
      <c r="B39" s="1002">
        <v>52</v>
      </c>
      <c r="C39" s="269" t="s">
        <v>239</v>
      </c>
      <c r="D39" s="269" t="s">
        <v>343</v>
      </c>
      <c r="E39" s="1138">
        <v>0</v>
      </c>
      <c r="F39" s="1138">
        <v>0</v>
      </c>
      <c r="G39" s="1138">
        <v>0</v>
      </c>
      <c r="H39" s="1138">
        <v>0</v>
      </c>
      <c r="I39" s="1138">
        <v>0</v>
      </c>
      <c r="J39" s="1138">
        <v>0</v>
      </c>
      <c r="K39" s="1138">
        <v>0</v>
      </c>
      <c r="L39" s="1138">
        <v>0</v>
      </c>
      <c r="M39" s="1138">
        <v>0</v>
      </c>
      <c r="N39" s="1138">
        <v>0</v>
      </c>
      <c r="O39" s="1138">
        <v>0</v>
      </c>
      <c r="P39" s="1138">
        <v>0</v>
      </c>
      <c r="Q39" s="1138">
        <v>0</v>
      </c>
      <c r="R39" s="1138">
        <v>0</v>
      </c>
      <c r="S39" s="1138">
        <v>0</v>
      </c>
      <c r="T39" s="1138">
        <v>783338</v>
      </c>
      <c r="U39" s="1138">
        <v>0</v>
      </c>
      <c r="V39" s="1138">
        <v>1151958</v>
      </c>
      <c r="W39" s="1138">
        <v>0</v>
      </c>
      <c r="X39" s="1138">
        <v>0</v>
      </c>
      <c r="Y39" s="1138">
        <v>0</v>
      </c>
      <c r="Z39" s="1138">
        <v>0</v>
      </c>
      <c r="AA39" s="1138">
        <v>123954</v>
      </c>
      <c r="AB39" s="1138">
        <v>99872</v>
      </c>
      <c r="AC39" s="1138">
        <v>0</v>
      </c>
      <c r="AD39" s="1138">
        <v>0</v>
      </c>
      <c r="AE39" s="1138">
        <v>0</v>
      </c>
      <c r="AF39" s="1138">
        <v>166910</v>
      </c>
      <c r="AG39" s="1138">
        <v>0</v>
      </c>
      <c r="AH39" s="1138">
        <v>0</v>
      </c>
      <c r="AI39" s="1138">
        <v>0</v>
      </c>
      <c r="AJ39" s="1138">
        <v>0</v>
      </c>
      <c r="AK39" s="1138">
        <v>408127</v>
      </c>
      <c r="AL39" s="1138">
        <v>0</v>
      </c>
      <c r="AM39" s="1138">
        <v>0</v>
      </c>
      <c r="AN39" s="1138">
        <v>0</v>
      </c>
      <c r="AO39" s="1138">
        <v>0</v>
      </c>
      <c r="AP39" s="1138">
        <v>0</v>
      </c>
      <c r="AQ39" s="1138">
        <v>0</v>
      </c>
      <c r="AR39" s="1138">
        <v>1081713</v>
      </c>
      <c r="AS39" s="1138">
        <v>0</v>
      </c>
      <c r="AT39" s="1138">
        <v>0</v>
      </c>
      <c r="AU39" s="1138">
        <v>0</v>
      </c>
      <c r="AV39" s="1138">
        <v>154209</v>
      </c>
      <c r="AW39" s="1138">
        <v>0</v>
      </c>
      <c r="AX39" s="1138">
        <v>0</v>
      </c>
      <c r="AY39" s="1138">
        <v>0</v>
      </c>
      <c r="AZ39" s="1138">
        <v>0</v>
      </c>
      <c r="BA39" s="1138">
        <v>227637</v>
      </c>
      <c r="BB39" s="1138">
        <v>0</v>
      </c>
      <c r="BC39" s="1138">
        <v>0</v>
      </c>
      <c r="BD39" s="1138">
        <v>0</v>
      </c>
      <c r="BE39" s="1138">
        <v>0</v>
      </c>
      <c r="BF39" s="1138">
        <v>0</v>
      </c>
      <c r="BG39" s="1138">
        <v>1622</v>
      </c>
      <c r="BH39" s="1138">
        <v>0</v>
      </c>
      <c r="BI39" s="1138">
        <v>0</v>
      </c>
      <c r="BJ39" s="1138">
        <v>0</v>
      </c>
      <c r="BK39" s="1138">
        <v>0</v>
      </c>
      <c r="BL39" s="1138">
        <v>195948</v>
      </c>
      <c r="BM39" s="1138">
        <v>0</v>
      </c>
      <c r="BN39" s="1138">
        <v>0</v>
      </c>
      <c r="BO39" s="1138">
        <v>0</v>
      </c>
      <c r="BP39" s="1138">
        <v>0</v>
      </c>
      <c r="BQ39" s="1138">
        <v>0</v>
      </c>
      <c r="BR39" s="1138">
        <v>0</v>
      </c>
      <c r="BS39" s="1138">
        <v>0</v>
      </c>
      <c r="BT39" s="1138">
        <v>0</v>
      </c>
      <c r="BU39" s="1138">
        <v>0</v>
      </c>
      <c r="BV39" s="1138">
        <v>0</v>
      </c>
      <c r="BW39" s="1138">
        <v>0</v>
      </c>
      <c r="BX39" s="1138">
        <v>0</v>
      </c>
      <c r="BY39" s="1138">
        <v>0</v>
      </c>
      <c r="BZ39" s="1138">
        <v>0</v>
      </c>
      <c r="CA39" s="1138">
        <v>0</v>
      </c>
      <c r="CB39" s="1138">
        <v>0</v>
      </c>
    </row>
    <row r="40" spans="1:80" x14ac:dyDescent="0.3">
      <c r="A40" s="269">
        <v>53</v>
      </c>
      <c r="B40" s="1002">
        <v>53</v>
      </c>
      <c r="C40" s="269" t="s">
        <v>101</v>
      </c>
      <c r="D40" s="269" t="s">
        <v>344</v>
      </c>
      <c r="E40" s="1138">
        <v>0</v>
      </c>
      <c r="F40" s="1138">
        <v>0</v>
      </c>
      <c r="G40" s="1138">
        <v>0</v>
      </c>
      <c r="H40" s="1138">
        <v>0</v>
      </c>
      <c r="I40" s="1138">
        <v>0</v>
      </c>
      <c r="J40" s="1138">
        <v>0</v>
      </c>
      <c r="K40" s="1138">
        <v>0</v>
      </c>
      <c r="L40" s="1138">
        <v>0</v>
      </c>
      <c r="M40" s="1138">
        <v>0</v>
      </c>
      <c r="N40" s="1138">
        <v>0</v>
      </c>
      <c r="O40" s="1138">
        <v>0</v>
      </c>
      <c r="P40" s="1138">
        <v>0</v>
      </c>
      <c r="Q40" s="1138">
        <v>0</v>
      </c>
      <c r="R40" s="1138">
        <v>0</v>
      </c>
      <c r="S40" s="1138">
        <v>0</v>
      </c>
      <c r="T40" s="1138">
        <v>1061684</v>
      </c>
      <c r="U40" s="1138">
        <v>0</v>
      </c>
      <c r="V40" s="1138">
        <v>5115764</v>
      </c>
      <c r="W40" s="1138">
        <v>0</v>
      </c>
      <c r="X40" s="1138">
        <v>0</v>
      </c>
      <c r="Y40" s="1138">
        <v>0</v>
      </c>
      <c r="Z40" s="1138">
        <v>0</v>
      </c>
      <c r="AA40" s="1138">
        <v>-45342</v>
      </c>
      <c r="AB40" s="1138">
        <v>611399</v>
      </c>
      <c r="AC40" s="1138">
        <v>0</v>
      </c>
      <c r="AD40" s="1138">
        <v>0</v>
      </c>
      <c r="AE40" s="1138">
        <v>0</v>
      </c>
      <c r="AF40" s="1138">
        <v>479269</v>
      </c>
      <c r="AG40" s="1138">
        <v>0</v>
      </c>
      <c r="AH40" s="1138">
        <v>0</v>
      </c>
      <c r="AI40" s="1138">
        <v>0</v>
      </c>
      <c r="AJ40" s="1138">
        <v>0</v>
      </c>
      <c r="AK40" s="1138">
        <v>1602310</v>
      </c>
      <c r="AL40" s="1138">
        <v>0</v>
      </c>
      <c r="AM40" s="1138">
        <v>0</v>
      </c>
      <c r="AN40" s="1138">
        <v>0</v>
      </c>
      <c r="AO40" s="1138">
        <v>0</v>
      </c>
      <c r="AP40" s="1138">
        <v>0</v>
      </c>
      <c r="AQ40" s="1138">
        <v>0</v>
      </c>
      <c r="AR40" s="1138">
        <v>5428591</v>
      </c>
      <c r="AS40" s="1138">
        <v>0</v>
      </c>
      <c r="AT40" s="1138">
        <v>0</v>
      </c>
      <c r="AU40" s="1138">
        <v>0</v>
      </c>
      <c r="AV40" s="1138">
        <v>812615</v>
      </c>
      <c r="AW40" s="1138">
        <v>0</v>
      </c>
      <c r="AX40" s="1138">
        <v>0</v>
      </c>
      <c r="AY40" s="1138">
        <v>0</v>
      </c>
      <c r="AZ40" s="1138">
        <v>0</v>
      </c>
      <c r="BA40" s="1138">
        <v>95133</v>
      </c>
      <c r="BB40" s="1138">
        <v>0</v>
      </c>
      <c r="BC40" s="1138">
        <v>0</v>
      </c>
      <c r="BD40" s="1138">
        <v>0</v>
      </c>
      <c r="BE40" s="1138">
        <v>0</v>
      </c>
      <c r="BF40" s="1138">
        <v>0</v>
      </c>
      <c r="BG40" s="1138">
        <v>59042</v>
      </c>
      <c r="BH40" s="1138">
        <v>0</v>
      </c>
      <c r="BI40" s="1138">
        <v>0</v>
      </c>
      <c r="BJ40" s="1138">
        <v>0</v>
      </c>
      <c r="BK40" s="1138">
        <v>0</v>
      </c>
      <c r="BL40" s="1138">
        <v>224834</v>
      </c>
      <c r="BM40" s="1138">
        <v>0</v>
      </c>
      <c r="BN40" s="1138">
        <v>0</v>
      </c>
      <c r="BO40" s="1138">
        <v>0</v>
      </c>
      <c r="BP40" s="1138">
        <v>0</v>
      </c>
      <c r="BQ40" s="1138">
        <v>0</v>
      </c>
      <c r="BR40" s="1138">
        <v>0</v>
      </c>
      <c r="BS40" s="1138">
        <v>0</v>
      </c>
      <c r="BT40" s="1138">
        <v>0</v>
      </c>
      <c r="BU40" s="1138">
        <v>0</v>
      </c>
      <c r="BV40" s="1138">
        <v>0</v>
      </c>
      <c r="BW40" s="1138">
        <v>0</v>
      </c>
      <c r="BX40" s="1138">
        <v>0</v>
      </c>
      <c r="BY40" s="1138">
        <v>0</v>
      </c>
      <c r="BZ40" s="1138">
        <v>0</v>
      </c>
      <c r="CA40" s="1138">
        <v>0</v>
      </c>
      <c r="CB40" s="1138">
        <v>0</v>
      </c>
    </row>
    <row r="41" spans="1:80" x14ac:dyDescent="0.3">
      <c r="B41" s="1002">
        <v>54</v>
      </c>
      <c r="C41" s="269" t="s">
        <v>631</v>
      </c>
      <c r="D41" s="269" t="s">
        <v>345</v>
      </c>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c r="AI41" s="1138"/>
      <c r="AJ41" s="1138"/>
      <c r="AK41" s="1138"/>
      <c r="AL41" s="1138"/>
      <c r="AM41" s="1138"/>
      <c r="AN41" s="1138"/>
      <c r="AO41" s="1138"/>
      <c r="AP41" s="1138"/>
      <c r="AQ41" s="1138"/>
      <c r="AR41" s="1138"/>
      <c r="AS41" s="1138"/>
      <c r="AT41" s="1138"/>
      <c r="AU41" s="1138"/>
      <c r="AV41" s="1138"/>
      <c r="AW41" s="1138"/>
      <c r="AX41" s="1138"/>
      <c r="AY41" s="1138"/>
      <c r="AZ41" s="1138"/>
      <c r="BA41" s="1138"/>
      <c r="BB41" s="1138"/>
      <c r="BC41" s="1138"/>
      <c r="BD41" s="1138"/>
      <c r="BE41" s="1138"/>
      <c r="BF41" s="1138"/>
      <c r="BG41" s="1138"/>
      <c r="BH41" s="1138"/>
      <c r="BI41" s="1138"/>
      <c r="BJ41" s="1138"/>
      <c r="BK41" s="1138"/>
      <c r="BL41" s="1138"/>
      <c r="BM41" s="1138"/>
      <c r="BN41" s="1138"/>
      <c r="BO41" s="1138"/>
      <c r="BP41" s="1138"/>
      <c r="BQ41" s="1138"/>
      <c r="BR41" s="1138"/>
      <c r="BS41" s="1138"/>
      <c r="BT41" s="1138"/>
      <c r="BU41" s="1138"/>
      <c r="BV41" s="1138"/>
      <c r="BW41" s="1138"/>
      <c r="BX41" s="1138"/>
      <c r="BY41" s="1138"/>
      <c r="BZ41" s="1138"/>
      <c r="CA41" s="1138"/>
      <c r="CB41" s="1138"/>
    </row>
    <row r="42" spans="1:80" x14ac:dyDescent="0.3">
      <c r="A42" s="269">
        <v>55</v>
      </c>
      <c r="B42" s="1002">
        <v>55</v>
      </c>
      <c r="C42" s="269" t="s">
        <v>249</v>
      </c>
      <c r="D42" s="269" t="s">
        <v>346</v>
      </c>
      <c r="E42" s="1138">
        <v>0</v>
      </c>
      <c r="F42" s="1138">
        <v>0</v>
      </c>
      <c r="G42" s="1138">
        <v>0</v>
      </c>
      <c r="H42" s="1138">
        <v>0</v>
      </c>
      <c r="I42" s="1138">
        <v>0</v>
      </c>
      <c r="J42" s="1138">
        <v>0</v>
      </c>
      <c r="K42" s="1138">
        <v>0</v>
      </c>
      <c r="L42" s="1138">
        <v>0</v>
      </c>
      <c r="M42" s="1138">
        <v>0</v>
      </c>
      <c r="N42" s="1138">
        <v>0</v>
      </c>
      <c r="O42" s="1138">
        <v>0</v>
      </c>
      <c r="P42" s="1138">
        <v>0</v>
      </c>
      <c r="Q42" s="1138">
        <v>0</v>
      </c>
      <c r="R42" s="1138">
        <v>0</v>
      </c>
      <c r="S42" s="1138">
        <v>0</v>
      </c>
      <c r="T42" s="1138">
        <v>2873810</v>
      </c>
      <c r="U42" s="1138">
        <v>0</v>
      </c>
      <c r="V42" s="1138">
        <v>9622054</v>
      </c>
      <c r="W42" s="1138">
        <v>0</v>
      </c>
      <c r="X42" s="1138">
        <v>0</v>
      </c>
      <c r="Y42" s="1138">
        <v>0</v>
      </c>
      <c r="Z42" s="1138">
        <v>0</v>
      </c>
      <c r="AA42" s="1138">
        <v>77541</v>
      </c>
      <c r="AB42" s="1138">
        <v>691639</v>
      </c>
      <c r="AC42" s="1138">
        <v>0</v>
      </c>
      <c r="AD42" s="1138">
        <v>0</v>
      </c>
      <c r="AE42" s="1138">
        <v>0</v>
      </c>
      <c r="AF42" s="1138">
        <v>517943</v>
      </c>
      <c r="AG42" s="1138">
        <v>0</v>
      </c>
      <c r="AH42" s="1138">
        <v>0</v>
      </c>
      <c r="AI42" s="1138">
        <v>0</v>
      </c>
      <c r="AJ42" s="1138">
        <v>0</v>
      </c>
      <c r="AK42" s="1138">
        <v>1559859</v>
      </c>
      <c r="AL42" s="1138">
        <v>0</v>
      </c>
      <c r="AM42" s="1138">
        <v>0</v>
      </c>
      <c r="AN42" s="1138">
        <v>0</v>
      </c>
      <c r="AO42" s="1138">
        <v>0</v>
      </c>
      <c r="AP42" s="1138">
        <v>0</v>
      </c>
      <c r="AQ42" s="1138">
        <v>0</v>
      </c>
      <c r="AR42" s="1138">
        <v>4669654</v>
      </c>
      <c r="AS42" s="1138">
        <v>0</v>
      </c>
      <c r="AT42" s="1138">
        <v>0</v>
      </c>
      <c r="AU42" s="1138">
        <v>0</v>
      </c>
      <c r="AV42" s="1138">
        <v>1025526</v>
      </c>
      <c r="AW42" s="1138">
        <v>0</v>
      </c>
      <c r="AX42" s="1138">
        <v>0</v>
      </c>
      <c r="AY42" s="1138">
        <v>0</v>
      </c>
      <c r="AZ42" s="1138">
        <v>0</v>
      </c>
      <c r="BA42" s="1138">
        <v>567786</v>
      </c>
      <c r="BB42" s="1138">
        <v>0</v>
      </c>
      <c r="BC42" s="1138">
        <v>0</v>
      </c>
      <c r="BD42" s="1138">
        <v>0</v>
      </c>
      <c r="BE42" s="1138">
        <v>0</v>
      </c>
      <c r="BF42" s="1138">
        <v>0</v>
      </c>
      <c r="BG42" s="1138">
        <v>-11792</v>
      </c>
      <c r="BH42" s="1138">
        <v>0</v>
      </c>
      <c r="BI42" s="1138">
        <v>0</v>
      </c>
      <c r="BJ42" s="1138">
        <v>0</v>
      </c>
      <c r="BK42" s="1138">
        <v>0</v>
      </c>
      <c r="BL42" s="1138">
        <v>432582</v>
      </c>
      <c r="BM42" s="1138">
        <v>0</v>
      </c>
      <c r="BN42" s="1138">
        <v>0</v>
      </c>
      <c r="BO42" s="1138">
        <v>0</v>
      </c>
      <c r="BP42" s="1138">
        <v>0</v>
      </c>
      <c r="BQ42" s="1138">
        <v>0</v>
      </c>
      <c r="BR42" s="1138">
        <v>0</v>
      </c>
      <c r="BS42" s="1138">
        <v>0</v>
      </c>
      <c r="BT42" s="1138">
        <v>0</v>
      </c>
      <c r="BU42" s="1138">
        <v>0</v>
      </c>
      <c r="BV42" s="1138">
        <v>0</v>
      </c>
      <c r="BW42" s="1138">
        <v>0</v>
      </c>
      <c r="BX42" s="1138">
        <v>0</v>
      </c>
      <c r="BY42" s="1138">
        <v>0</v>
      </c>
      <c r="BZ42" s="1138">
        <v>0</v>
      </c>
      <c r="CA42" s="1138">
        <v>0</v>
      </c>
      <c r="CB42" s="1138">
        <v>0</v>
      </c>
    </row>
    <row r="43" spans="1:80" x14ac:dyDescent="0.3">
      <c r="A43" s="269">
        <v>61</v>
      </c>
      <c r="B43" s="1002">
        <v>61</v>
      </c>
      <c r="C43" s="269" t="s">
        <v>268</v>
      </c>
      <c r="D43" s="269" t="s">
        <v>347</v>
      </c>
      <c r="E43" s="1139">
        <v>99.53</v>
      </c>
      <c r="F43" s="1139">
        <v>99.75</v>
      </c>
      <c r="G43" s="1139">
        <v>0</v>
      </c>
      <c r="H43" s="1139">
        <v>99.34</v>
      </c>
      <c r="I43" s="1139">
        <v>99.58</v>
      </c>
      <c r="J43" s="1139">
        <v>91.8</v>
      </c>
      <c r="K43" s="1139">
        <v>95.12</v>
      </c>
      <c r="L43" s="1139">
        <v>96.79</v>
      </c>
      <c r="M43" s="1139">
        <v>98.31</v>
      </c>
      <c r="N43" s="1139">
        <v>94.06</v>
      </c>
      <c r="O43" s="1139">
        <v>97.11</v>
      </c>
      <c r="P43" s="1139">
        <v>99.53</v>
      </c>
      <c r="Q43" s="1139">
        <v>99.36</v>
      </c>
      <c r="R43" s="1139">
        <v>99.59</v>
      </c>
      <c r="S43" s="1139">
        <v>98.54</v>
      </c>
      <c r="T43" s="1139">
        <v>99.36</v>
      </c>
      <c r="U43" s="1139">
        <v>0</v>
      </c>
      <c r="V43" s="1139">
        <v>97.44</v>
      </c>
      <c r="W43" s="1139">
        <v>93.72</v>
      </c>
      <c r="X43" s="1139">
        <v>99.35</v>
      </c>
      <c r="Y43" s="1139">
        <v>99.73</v>
      </c>
      <c r="Z43" s="1139">
        <v>99.8</v>
      </c>
      <c r="AA43" s="1139">
        <v>95.73</v>
      </c>
      <c r="AB43" s="1139">
        <v>98.77</v>
      </c>
      <c r="AC43" s="1139">
        <v>99.21</v>
      </c>
      <c r="AD43" s="1139">
        <v>99.43</v>
      </c>
      <c r="AE43" s="1139">
        <v>99.02</v>
      </c>
      <c r="AF43" s="1139">
        <v>95.94</v>
      </c>
      <c r="AG43" s="1139">
        <v>91.43</v>
      </c>
      <c r="AH43" s="1139">
        <v>98.68</v>
      </c>
      <c r="AI43" s="1139">
        <v>98.45</v>
      </c>
      <c r="AJ43" s="1139">
        <v>99.59</v>
      </c>
      <c r="AK43" s="1139">
        <v>94.56</v>
      </c>
      <c r="AL43" s="1139">
        <v>96.46</v>
      </c>
      <c r="AM43" s="1139">
        <v>96.82</v>
      </c>
      <c r="AN43" s="1139">
        <v>99.4</v>
      </c>
      <c r="AO43" s="1139">
        <v>95.77</v>
      </c>
      <c r="AP43" s="1139">
        <v>94.86</v>
      </c>
      <c r="AQ43" s="1139">
        <v>99.69</v>
      </c>
      <c r="AR43" s="1139">
        <v>96.85</v>
      </c>
      <c r="AS43" s="1139">
        <v>98.66</v>
      </c>
      <c r="AT43" s="1139">
        <v>94.35</v>
      </c>
      <c r="AU43" s="1139">
        <v>99.83</v>
      </c>
      <c r="AV43" s="1139">
        <v>98.38</v>
      </c>
      <c r="AW43" s="1139">
        <v>96.71</v>
      </c>
      <c r="AX43" s="1139">
        <v>97.47</v>
      </c>
      <c r="AY43" s="1139">
        <v>98.3</v>
      </c>
      <c r="AZ43" s="1139">
        <v>97.23</v>
      </c>
      <c r="BA43" s="1139">
        <v>98.61</v>
      </c>
      <c r="BB43" s="1139">
        <v>92.56</v>
      </c>
      <c r="BC43" s="1139">
        <v>0</v>
      </c>
      <c r="BD43" s="1139">
        <v>0</v>
      </c>
      <c r="BE43" s="1139">
        <v>96.54</v>
      </c>
      <c r="BF43" s="1139">
        <v>0</v>
      </c>
      <c r="BG43" s="1139">
        <v>89.69</v>
      </c>
      <c r="BH43" s="1139">
        <v>95.61</v>
      </c>
      <c r="BI43" s="1139">
        <v>99.43</v>
      </c>
      <c r="BJ43" s="1139">
        <v>96.49</v>
      </c>
      <c r="BK43" s="1139">
        <v>0</v>
      </c>
      <c r="BL43" s="1139">
        <v>99.69</v>
      </c>
      <c r="BM43" s="1139">
        <v>99.46</v>
      </c>
      <c r="BN43" s="1139">
        <v>0</v>
      </c>
      <c r="BO43" s="1139">
        <v>99.09</v>
      </c>
      <c r="BP43" s="1139">
        <v>97.31</v>
      </c>
      <c r="BQ43" s="1139">
        <v>96.89</v>
      </c>
      <c r="BR43" s="1139">
        <v>98.36</v>
      </c>
      <c r="BS43" s="1139">
        <v>99.82</v>
      </c>
      <c r="BT43" s="1139">
        <v>99.65</v>
      </c>
      <c r="BU43" s="1139">
        <v>86.41</v>
      </c>
      <c r="BV43" s="1139">
        <v>99.22</v>
      </c>
      <c r="BW43" s="1139">
        <v>95.19</v>
      </c>
      <c r="BX43" s="1139">
        <v>99.76</v>
      </c>
      <c r="BY43" s="1139">
        <v>92.2</v>
      </c>
      <c r="BZ43" s="1139">
        <v>96.69</v>
      </c>
      <c r="CA43" s="1139">
        <v>99.46</v>
      </c>
      <c r="CB43" s="1139">
        <v>89.25</v>
      </c>
    </row>
    <row r="44" spans="1:80" x14ac:dyDescent="0.3">
      <c r="A44" s="269">
        <v>80</v>
      </c>
      <c r="B44" s="1002">
        <v>80</v>
      </c>
      <c r="C44" s="269" t="s">
        <v>218</v>
      </c>
      <c r="D44" s="269" t="s">
        <v>348</v>
      </c>
      <c r="E44" s="1138">
        <v>0</v>
      </c>
      <c r="F44" s="1138">
        <v>0</v>
      </c>
      <c r="G44" s="1138">
        <v>0</v>
      </c>
      <c r="H44" s="1138">
        <v>27839762</v>
      </c>
      <c r="I44" s="1138">
        <v>7615573</v>
      </c>
      <c r="J44" s="1138">
        <v>222005</v>
      </c>
      <c r="K44" s="1138">
        <v>5434840</v>
      </c>
      <c r="L44" s="1138">
        <v>595429</v>
      </c>
      <c r="M44" s="1138">
        <v>7052326</v>
      </c>
      <c r="N44" s="1138">
        <v>0</v>
      </c>
      <c r="O44" s="1138">
        <v>1544646</v>
      </c>
      <c r="P44" s="1138">
        <v>877560</v>
      </c>
      <c r="Q44" s="1138">
        <v>0</v>
      </c>
      <c r="R44" s="1138">
        <v>7838144</v>
      </c>
      <c r="S44" s="1138">
        <v>6391338</v>
      </c>
      <c r="T44" s="1138">
        <v>6663580</v>
      </c>
      <c r="U44" s="1138">
        <v>0</v>
      </c>
      <c r="V44" s="1138">
        <v>5545169</v>
      </c>
      <c r="W44" s="1138">
        <v>0</v>
      </c>
      <c r="X44" s="1138">
        <v>0</v>
      </c>
      <c r="Y44" s="1138">
        <v>75625</v>
      </c>
      <c r="Z44" s="1138">
        <v>2208369</v>
      </c>
      <c r="AA44" s="1138">
        <v>916414</v>
      </c>
      <c r="AB44" s="1138">
        <v>253307</v>
      </c>
      <c r="AC44" s="1138">
        <v>0</v>
      </c>
      <c r="AD44" s="1138">
        <v>73177</v>
      </c>
      <c r="AE44" s="1138">
        <v>1468193</v>
      </c>
      <c r="AF44" s="1138">
        <v>285813</v>
      </c>
      <c r="AG44" s="1138">
        <v>57129</v>
      </c>
      <c r="AH44" s="1138">
        <v>0</v>
      </c>
      <c r="AI44" s="1138">
        <v>0</v>
      </c>
      <c r="AJ44" s="1138">
        <v>770422</v>
      </c>
      <c r="AK44" s="1138">
        <v>6510447</v>
      </c>
      <c r="AL44" s="1138">
        <v>376579</v>
      </c>
      <c r="AM44" s="1138">
        <v>0</v>
      </c>
      <c r="AN44" s="1138">
        <v>14635677</v>
      </c>
      <c r="AO44" s="1138">
        <v>7433828</v>
      </c>
      <c r="AP44" s="1138">
        <v>71734</v>
      </c>
      <c r="AQ44" s="1138">
        <v>0</v>
      </c>
      <c r="AR44" s="1138">
        <v>5086072</v>
      </c>
      <c r="AS44" s="1138">
        <v>1146099</v>
      </c>
      <c r="AT44" s="1138">
        <v>225026</v>
      </c>
      <c r="AU44" s="1138">
        <v>1130632</v>
      </c>
      <c r="AV44" s="1138">
        <v>10216824</v>
      </c>
      <c r="AW44" s="1138">
        <v>1007277</v>
      </c>
      <c r="AX44" s="1138">
        <v>188440</v>
      </c>
      <c r="AY44" s="1138">
        <v>951833</v>
      </c>
      <c r="AZ44" s="1138">
        <v>507602</v>
      </c>
      <c r="BA44" s="1138">
        <v>1700021</v>
      </c>
      <c r="BB44" s="1138">
        <v>0</v>
      </c>
      <c r="BC44" s="1138">
        <v>0</v>
      </c>
      <c r="BD44" s="1138">
        <v>0</v>
      </c>
      <c r="BE44" s="1138">
        <v>0</v>
      </c>
      <c r="BF44" s="1138">
        <v>0</v>
      </c>
      <c r="BG44" s="1138">
        <v>0</v>
      </c>
      <c r="BH44" s="1138">
        <v>0</v>
      </c>
      <c r="BI44" s="1138">
        <v>758411</v>
      </c>
      <c r="BJ44" s="1138">
        <v>1788162</v>
      </c>
      <c r="BK44" s="1138">
        <v>0</v>
      </c>
      <c r="BL44" s="1138">
        <v>4825944</v>
      </c>
      <c r="BM44" s="1138">
        <v>2243145</v>
      </c>
      <c r="BN44" s="1138">
        <v>0</v>
      </c>
      <c r="BO44" s="1138">
        <v>1563515</v>
      </c>
      <c r="BP44" s="1138">
        <v>2526181</v>
      </c>
      <c r="BQ44" s="1138">
        <v>810538</v>
      </c>
      <c r="BR44" s="1138">
        <v>3202694</v>
      </c>
      <c r="BS44" s="1138">
        <v>0</v>
      </c>
      <c r="BT44" s="1138">
        <v>0</v>
      </c>
      <c r="BU44" s="1138">
        <v>984792</v>
      </c>
      <c r="BV44" s="1138">
        <v>1780570</v>
      </c>
      <c r="BW44" s="1138">
        <v>79369</v>
      </c>
      <c r="BX44" s="1138">
        <v>980972</v>
      </c>
      <c r="BY44" s="1138">
        <v>0</v>
      </c>
      <c r="BZ44" s="1138">
        <v>0</v>
      </c>
      <c r="CA44" s="1138">
        <v>8102532</v>
      </c>
      <c r="CB44" s="1138">
        <v>0</v>
      </c>
    </row>
    <row r="45" spans="1:80" x14ac:dyDescent="0.3">
      <c r="A45" s="269">
        <v>81</v>
      </c>
      <c r="B45" s="1002">
        <v>81</v>
      </c>
      <c r="C45" s="269" t="s">
        <v>219</v>
      </c>
      <c r="D45" s="269" t="s">
        <v>349</v>
      </c>
      <c r="E45" s="1138">
        <v>0</v>
      </c>
      <c r="F45" s="1138">
        <v>0</v>
      </c>
      <c r="G45" s="1138">
        <v>0</v>
      </c>
      <c r="H45" s="1138">
        <v>3542954</v>
      </c>
      <c r="I45" s="1138">
        <v>286160</v>
      </c>
      <c r="J45" s="1138">
        <v>21628</v>
      </c>
      <c r="K45" s="1138">
        <v>76928</v>
      </c>
      <c r="L45" s="1138">
        <v>199777</v>
      </c>
      <c r="M45" s="1138">
        <v>3340085</v>
      </c>
      <c r="N45" s="1138">
        <v>0</v>
      </c>
      <c r="O45" s="1138">
        <v>93827</v>
      </c>
      <c r="P45" s="1138">
        <v>120696</v>
      </c>
      <c r="Q45" s="1138">
        <v>0</v>
      </c>
      <c r="R45" s="1138">
        <v>973712</v>
      </c>
      <c r="S45" s="1138">
        <v>1221579</v>
      </c>
      <c r="T45" s="1138">
        <v>623592</v>
      </c>
      <c r="U45" s="1138">
        <v>0</v>
      </c>
      <c r="V45" s="1138">
        <v>2054367</v>
      </c>
      <c r="W45" s="1138">
        <v>0</v>
      </c>
      <c r="X45" s="1138">
        <v>0</v>
      </c>
      <c r="Y45" s="1138">
        <v>0</v>
      </c>
      <c r="Z45" s="1138">
        <v>364555</v>
      </c>
      <c r="AA45" s="1138">
        <v>66931</v>
      </c>
      <c r="AB45" s="1138">
        <v>221262</v>
      </c>
      <c r="AC45" s="1138">
        <v>0</v>
      </c>
      <c r="AD45" s="1138">
        <v>542</v>
      </c>
      <c r="AE45" s="1138">
        <v>107236</v>
      </c>
      <c r="AF45" s="1138">
        <v>310738</v>
      </c>
      <c r="AG45" s="1138">
        <v>10239</v>
      </c>
      <c r="AH45" s="1138">
        <v>0</v>
      </c>
      <c r="AI45" s="1138">
        <v>0</v>
      </c>
      <c r="AJ45" s="1138">
        <v>93854</v>
      </c>
      <c r="AK45" s="1138">
        <v>509365</v>
      </c>
      <c r="AL45" s="1138">
        <v>17989</v>
      </c>
      <c r="AM45" s="1138">
        <v>0</v>
      </c>
      <c r="AN45" s="1138">
        <v>957816</v>
      </c>
      <c r="AO45" s="1138">
        <v>566813</v>
      </c>
      <c r="AP45" s="1138">
        <v>19779</v>
      </c>
      <c r="AQ45" s="1138">
        <v>0</v>
      </c>
      <c r="AR45" s="1138">
        <v>1355941</v>
      </c>
      <c r="AS45" s="1138">
        <v>288414</v>
      </c>
      <c r="AT45" s="1138">
        <v>32361</v>
      </c>
      <c r="AU45" s="1138">
        <v>236352</v>
      </c>
      <c r="AV45" s="1138">
        <v>736825</v>
      </c>
      <c r="AW45" s="1138">
        <v>36445</v>
      </c>
      <c r="AX45" s="1138">
        <v>57490</v>
      </c>
      <c r="AY45" s="1138">
        <v>151727</v>
      </c>
      <c r="AZ45" s="1138">
        <v>168068</v>
      </c>
      <c r="BA45" s="1138">
        <v>286824</v>
      </c>
      <c r="BB45" s="1138">
        <v>0</v>
      </c>
      <c r="BC45" s="1138">
        <v>0</v>
      </c>
      <c r="BD45" s="1138">
        <v>0</v>
      </c>
      <c r="BE45" s="1138">
        <v>0</v>
      </c>
      <c r="BF45" s="1138">
        <v>0</v>
      </c>
      <c r="BG45" s="1138">
        <v>28973</v>
      </c>
      <c r="BH45" s="1138">
        <v>0</v>
      </c>
      <c r="BI45" s="1138">
        <v>140092</v>
      </c>
      <c r="BJ45" s="1138">
        <v>152911</v>
      </c>
      <c r="BK45" s="1138">
        <v>0</v>
      </c>
      <c r="BL45" s="1138">
        <v>192192</v>
      </c>
      <c r="BM45" s="1138">
        <v>329203</v>
      </c>
      <c r="BN45" s="1138">
        <v>0</v>
      </c>
      <c r="BO45" s="1138">
        <v>515577</v>
      </c>
      <c r="BP45" s="1138">
        <v>188582</v>
      </c>
      <c r="BQ45" s="1138">
        <v>64358</v>
      </c>
      <c r="BR45" s="1138">
        <v>119905</v>
      </c>
      <c r="BS45" s="1138">
        <v>0</v>
      </c>
      <c r="BT45" s="1138">
        <v>0</v>
      </c>
      <c r="BU45" s="1138">
        <v>215762</v>
      </c>
      <c r="BV45" s="1138">
        <v>272642</v>
      </c>
      <c r="BW45" s="1138">
        <v>85239</v>
      </c>
      <c r="BX45" s="1138">
        <v>67982</v>
      </c>
      <c r="BY45" s="1138">
        <v>0</v>
      </c>
      <c r="BZ45" s="1138">
        <v>0</v>
      </c>
      <c r="CA45" s="1138">
        <v>802481</v>
      </c>
      <c r="CB45" s="1138">
        <v>0</v>
      </c>
    </row>
    <row r="46" spans="1:80" x14ac:dyDescent="0.3">
      <c r="A46" s="269">
        <v>82</v>
      </c>
      <c r="B46" s="1002">
        <v>82</v>
      </c>
      <c r="C46" s="269" t="s">
        <v>554</v>
      </c>
      <c r="D46" s="269" t="s">
        <v>350</v>
      </c>
      <c r="E46" s="1138">
        <v>0</v>
      </c>
      <c r="F46" s="1138">
        <v>0</v>
      </c>
      <c r="G46" s="1138">
        <v>0</v>
      </c>
      <c r="H46" s="1138">
        <v>65538927</v>
      </c>
      <c r="I46" s="1138">
        <v>1656421</v>
      </c>
      <c r="J46" s="1138">
        <v>0</v>
      </c>
      <c r="K46" s="1138">
        <v>0</v>
      </c>
      <c r="L46" s="1138">
        <v>2428000</v>
      </c>
      <c r="M46" s="1138">
        <v>48271722</v>
      </c>
      <c r="N46" s="1138">
        <v>0</v>
      </c>
      <c r="O46" s="1138">
        <v>23296</v>
      </c>
      <c r="P46" s="1138">
        <v>26667</v>
      </c>
      <c r="Q46" s="1138">
        <v>0</v>
      </c>
      <c r="R46" s="1138">
        <v>30944</v>
      </c>
      <c r="S46" s="1138">
        <v>11705215</v>
      </c>
      <c r="T46" s="1138">
        <v>25056784</v>
      </c>
      <c r="U46" s="1138">
        <v>0</v>
      </c>
      <c r="V46" s="1138">
        <v>11723137</v>
      </c>
      <c r="W46" s="1138">
        <v>0</v>
      </c>
      <c r="X46" s="1138">
        <v>0</v>
      </c>
      <c r="Y46" s="1138">
        <v>440632</v>
      </c>
      <c r="Z46" s="1138">
        <v>1048679</v>
      </c>
      <c r="AA46" s="1138">
        <v>432106</v>
      </c>
      <c r="AB46" s="1138">
        <v>1159556</v>
      </c>
      <c r="AC46" s="1138">
        <v>0</v>
      </c>
      <c r="AD46" s="1138">
        <v>24779</v>
      </c>
      <c r="AE46" s="1138">
        <v>1256551</v>
      </c>
      <c r="AF46" s="1138">
        <v>5081551</v>
      </c>
      <c r="AG46" s="1138">
        <v>0</v>
      </c>
      <c r="AH46" s="1138">
        <v>0</v>
      </c>
      <c r="AI46" s="1138">
        <v>0</v>
      </c>
      <c r="AJ46" s="1138">
        <v>0</v>
      </c>
      <c r="AK46" s="1138">
        <v>5285109</v>
      </c>
      <c r="AL46" s="1138">
        <v>0</v>
      </c>
      <c r="AM46" s="1138">
        <v>0</v>
      </c>
      <c r="AN46" s="1138">
        <v>6714166</v>
      </c>
      <c r="AO46" s="1138">
        <v>19423648</v>
      </c>
      <c r="AP46" s="1138">
        <v>0</v>
      </c>
      <c r="AQ46" s="1138">
        <v>0</v>
      </c>
      <c r="AR46" s="1138">
        <v>282866</v>
      </c>
      <c r="AS46" s="1138">
        <v>60643</v>
      </c>
      <c r="AT46" s="1138">
        <v>246000</v>
      </c>
      <c r="AU46" s="1138">
        <v>0</v>
      </c>
      <c r="AV46" s="1138">
        <v>8564015</v>
      </c>
      <c r="AW46" s="1138">
        <v>181758</v>
      </c>
      <c r="AX46" s="1138">
        <v>239423</v>
      </c>
      <c r="AY46" s="1138">
        <v>695916</v>
      </c>
      <c r="AZ46" s="1138">
        <v>193930</v>
      </c>
      <c r="BA46" s="1138">
        <v>3464038</v>
      </c>
      <c r="BB46" s="1138">
        <v>0</v>
      </c>
      <c r="BC46" s="1138">
        <v>0</v>
      </c>
      <c r="BD46" s="1138">
        <v>0</v>
      </c>
      <c r="BE46" s="1138">
        <v>0</v>
      </c>
      <c r="BF46" s="1138">
        <v>0</v>
      </c>
      <c r="BG46" s="1138">
        <v>0</v>
      </c>
      <c r="BH46" s="1138">
        <v>0</v>
      </c>
      <c r="BI46" s="1138">
        <v>1487605</v>
      </c>
      <c r="BJ46" s="1138">
        <v>1466646</v>
      </c>
      <c r="BK46" s="1138">
        <v>0</v>
      </c>
      <c r="BL46" s="1138">
        <v>618723</v>
      </c>
      <c r="BM46" s="1138">
        <v>329975</v>
      </c>
      <c r="BN46" s="1138">
        <v>0</v>
      </c>
      <c r="BO46" s="1138">
        <v>1568494</v>
      </c>
      <c r="BP46" s="1138">
        <v>786857</v>
      </c>
      <c r="BQ46" s="1138">
        <v>679314</v>
      </c>
      <c r="BR46" s="1138">
        <v>766372</v>
      </c>
      <c r="BS46" s="1138">
        <v>0</v>
      </c>
      <c r="BT46" s="1138">
        <v>0</v>
      </c>
      <c r="BU46" s="1138">
        <v>303883</v>
      </c>
      <c r="BV46" s="1138">
        <v>1741286</v>
      </c>
      <c r="BW46" s="1138">
        <v>109715</v>
      </c>
      <c r="BX46" s="1138">
        <v>0</v>
      </c>
      <c r="BY46" s="1138">
        <v>0</v>
      </c>
      <c r="BZ46" s="1138">
        <v>0</v>
      </c>
      <c r="CA46" s="1138">
        <v>8235575</v>
      </c>
      <c r="CB46" s="1138">
        <v>0</v>
      </c>
    </row>
    <row r="47" spans="1:80" x14ac:dyDescent="0.3">
      <c r="A47" s="269">
        <v>83</v>
      </c>
      <c r="B47" s="1002">
        <v>83</v>
      </c>
      <c r="C47" s="269" t="s">
        <v>102</v>
      </c>
      <c r="D47" s="269" t="s">
        <v>351</v>
      </c>
      <c r="E47" s="1138">
        <v>0</v>
      </c>
      <c r="F47" s="1138">
        <v>0</v>
      </c>
      <c r="G47" s="1138">
        <v>0</v>
      </c>
      <c r="H47" s="1138">
        <v>68345744</v>
      </c>
      <c r="I47" s="1138">
        <v>22183079</v>
      </c>
      <c r="J47" s="1138">
        <v>318648</v>
      </c>
      <c r="K47" s="1138">
        <v>10911873</v>
      </c>
      <c r="L47" s="1138">
        <v>3691873</v>
      </c>
      <c r="M47" s="1138">
        <v>71315883</v>
      </c>
      <c r="N47" s="1138">
        <v>0</v>
      </c>
      <c r="O47" s="1138">
        <v>3156793</v>
      </c>
      <c r="P47" s="1138">
        <v>5294542</v>
      </c>
      <c r="Q47" s="1138">
        <v>0</v>
      </c>
      <c r="R47" s="1138">
        <v>20873137</v>
      </c>
      <c r="S47" s="1138">
        <v>23618399</v>
      </c>
      <c r="T47" s="1138">
        <v>35901880</v>
      </c>
      <c r="U47" s="1138">
        <v>0</v>
      </c>
      <c r="V47" s="1138">
        <v>73045340</v>
      </c>
      <c r="W47" s="1138">
        <v>0</v>
      </c>
      <c r="X47" s="1138">
        <v>0</v>
      </c>
      <c r="Y47" s="1138">
        <v>37335</v>
      </c>
      <c r="Z47" s="1138">
        <v>7036441</v>
      </c>
      <c r="AA47" s="1138">
        <v>8047916</v>
      </c>
      <c r="AB47" s="1138">
        <v>5749157</v>
      </c>
      <c r="AC47" s="1138">
        <v>0</v>
      </c>
      <c r="AD47" s="1138">
        <v>139098</v>
      </c>
      <c r="AE47" s="1138">
        <v>8534041</v>
      </c>
      <c r="AF47" s="1138">
        <v>7139234</v>
      </c>
      <c r="AG47" s="1138">
        <v>715787</v>
      </c>
      <c r="AH47" s="1138">
        <v>0</v>
      </c>
      <c r="AI47" s="1138">
        <v>0</v>
      </c>
      <c r="AJ47" s="1138">
        <v>2507362</v>
      </c>
      <c r="AK47" s="1138">
        <v>35294972</v>
      </c>
      <c r="AL47" s="1138">
        <v>1878972</v>
      </c>
      <c r="AM47" s="1138">
        <v>0</v>
      </c>
      <c r="AN47" s="1138">
        <v>49224538</v>
      </c>
      <c r="AO47" s="1138">
        <v>55138264</v>
      </c>
      <c r="AP47" s="1138">
        <v>354328</v>
      </c>
      <c r="AQ47" s="1138">
        <v>0</v>
      </c>
      <c r="AR47" s="1138">
        <v>45071206</v>
      </c>
      <c r="AS47" s="1138">
        <v>5544647</v>
      </c>
      <c r="AT47" s="1138">
        <v>4385422</v>
      </c>
      <c r="AU47" s="1138">
        <v>5072456</v>
      </c>
      <c r="AV47" s="1138">
        <v>27021449</v>
      </c>
      <c r="AW47" s="1138">
        <v>1550190</v>
      </c>
      <c r="AX47" s="1138">
        <v>4753786</v>
      </c>
      <c r="AY47" s="1138">
        <v>10297979</v>
      </c>
      <c r="AZ47" s="1138">
        <v>9036654</v>
      </c>
      <c r="BA47" s="1138">
        <v>12788337</v>
      </c>
      <c r="BB47" s="1138">
        <v>0</v>
      </c>
      <c r="BC47" s="1138">
        <v>0</v>
      </c>
      <c r="BD47" s="1138">
        <v>0</v>
      </c>
      <c r="BE47" s="1138">
        <v>0</v>
      </c>
      <c r="BF47" s="1138">
        <v>0</v>
      </c>
      <c r="BG47" s="1138">
        <v>2705939</v>
      </c>
      <c r="BH47" s="1138">
        <v>0</v>
      </c>
      <c r="BI47" s="1138">
        <v>5358317</v>
      </c>
      <c r="BJ47" s="1138">
        <v>6025628</v>
      </c>
      <c r="BK47" s="1138">
        <v>0</v>
      </c>
      <c r="BL47" s="1138">
        <v>12819898</v>
      </c>
      <c r="BM47" s="1138">
        <v>6823373</v>
      </c>
      <c r="BN47" s="1138">
        <v>0</v>
      </c>
      <c r="BO47" s="1138">
        <v>19732573</v>
      </c>
      <c r="BP47" s="1138">
        <v>11441277</v>
      </c>
      <c r="BQ47" s="1138">
        <v>8306592</v>
      </c>
      <c r="BR47" s="1138">
        <v>6688481</v>
      </c>
      <c r="BS47" s="1138">
        <v>0</v>
      </c>
      <c r="BT47" s="1138">
        <v>0</v>
      </c>
      <c r="BU47" s="1138">
        <v>6758075</v>
      </c>
      <c r="BV47" s="1138">
        <v>12526821</v>
      </c>
      <c r="BW47" s="1138">
        <v>3984960</v>
      </c>
      <c r="BX47" s="1138">
        <v>3465811</v>
      </c>
      <c r="BY47" s="1138">
        <v>0</v>
      </c>
      <c r="BZ47" s="1138">
        <v>0</v>
      </c>
      <c r="CA47" s="1138">
        <v>47191471</v>
      </c>
      <c r="CB47" s="1138">
        <v>0</v>
      </c>
    </row>
    <row r="48" spans="1:80" x14ac:dyDescent="0.3">
      <c r="A48" s="269">
        <v>84</v>
      </c>
      <c r="B48" s="1002">
        <v>84</v>
      </c>
      <c r="C48" s="269" t="s">
        <v>227</v>
      </c>
      <c r="D48" s="269" t="s">
        <v>352</v>
      </c>
      <c r="E48" s="1138">
        <v>0</v>
      </c>
      <c r="F48" s="1138">
        <v>0</v>
      </c>
      <c r="G48" s="1138">
        <v>0</v>
      </c>
      <c r="H48" s="1138">
        <v>24481121</v>
      </c>
      <c r="I48" s="1138">
        <v>3982528</v>
      </c>
      <c r="J48" s="1138">
        <v>197325</v>
      </c>
      <c r="K48" s="1138">
        <v>899650</v>
      </c>
      <c r="L48" s="1138">
        <v>876266</v>
      </c>
      <c r="M48" s="1138">
        <v>17112636</v>
      </c>
      <c r="N48" s="1138">
        <v>0</v>
      </c>
      <c r="O48" s="1138">
        <v>677507</v>
      </c>
      <c r="P48" s="1138">
        <v>1338480</v>
      </c>
      <c r="Q48" s="1138">
        <v>0</v>
      </c>
      <c r="R48" s="1138">
        <v>4198715</v>
      </c>
      <c r="S48" s="1138">
        <v>6226182</v>
      </c>
      <c r="T48" s="1138">
        <v>6865446</v>
      </c>
      <c r="U48" s="1138">
        <v>0</v>
      </c>
      <c r="V48" s="1138">
        <v>16573545</v>
      </c>
      <c r="W48" s="1138">
        <v>0</v>
      </c>
      <c r="X48" s="1138">
        <v>0</v>
      </c>
      <c r="Y48" s="1138">
        <v>0</v>
      </c>
      <c r="Z48" s="1138">
        <v>2144521</v>
      </c>
      <c r="AA48" s="1138">
        <v>1369275</v>
      </c>
      <c r="AB48" s="1138">
        <v>1260327</v>
      </c>
      <c r="AC48" s="1138">
        <v>0</v>
      </c>
      <c r="AD48" s="1138">
        <v>99225</v>
      </c>
      <c r="AE48" s="1138">
        <v>881952</v>
      </c>
      <c r="AF48" s="1138">
        <v>2398931</v>
      </c>
      <c r="AG48" s="1138">
        <v>55822</v>
      </c>
      <c r="AH48" s="1138">
        <v>0</v>
      </c>
      <c r="AI48" s="1138">
        <v>0</v>
      </c>
      <c r="AJ48" s="1138">
        <v>464954</v>
      </c>
      <c r="AK48" s="1138">
        <v>8141946</v>
      </c>
      <c r="AL48" s="1138">
        <v>107500</v>
      </c>
      <c r="AM48" s="1138">
        <v>0</v>
      </c>
      <c r="AN48" s="1138">
        <v>6319812</v>
      </c>
      <c r="AO48" s="1138">
        <v>9336640</v>
      </c>
      <c r="AP48" s="1138">
        <v>125846</v>
      </c>
      <c r="AQ48" s="1138">
        <v>0</v>
      </c>
      <c r="AR48" s="1138">
        <v>10718813</v>
      </c>
      <c r="AS48" s="1138">
        <v>912856</v>
      </c>
      <c r="AT48" s="1138">
        <v>307393</v>
      </c>
      <c r="AU48" s="1138">
        <v>2127215</v>
      </c>
      <c r="AV48" s="1138">
        <v>7660499</v>
      </c>
      <c r="AW48" s="1138">
        <v>379480</v>
      </c>
      <c r="AX48" s="1138">
        <v>398155</v>
      </c>
      <c r="AY48" s="1138">
        <v>1964485</v>
      </c>
      <c r="AZ48" s="1138">
        <v>2084019</v>
      </c>
      <c r="BA48" s="1138">
        <v>2619002</v>
      </c>
      <c r="BB48" s="1138">
        <v>0</v>
      </c>
      <c r="BC48" s="1138">
        <v>0</v>
      </c>
      <c r="BD48" s="1138">
        <v>0</v>
      </c>
      <c r="BE48" s="1138">
        <v>0</v>
      </c>
      <c r="BF48" s="1138">
        <v>0</v>
      </c>
      <c r="BG48" s="1138">
        <v>202226</v>
      </c>
      <c r="BH48" s="1138">
        <v>0</v>
      </c>
      <c r="BI48" s="1138">
        <v>1515437</v>
      </c>
      <c r="BJ48" s="1138">
        <v>953507</v>
      </c>
      <c r="BK48" s="1138">
        <v>0</v>
      </c>
      <c r="BL48" s="1138">
        <v>2448866</v>
      </c>
      <c r="BM48" s="1138">
        <v>1991374</v>
      </c>
      <c r="BN48" s="1138">
        <v>0</v>
      </c>
      <c r="BO48" s="1138">
        <v>3572687</v>
      </c>
      <c r="BP48" s="1138">
        <v>1073453</v>
      </c>
      <c r="BQ48" s="1138">
        <v>669108</v>
      </c>
      <c r="BR48" s="1138">
        <v>1509672</v>
      </c>
      <c r="BS48" s="1138">
        <v>0</v>
      </c>
      <c r="BT48" s="1138">
        <v>0</v>
      </c>
      <c r="BU48" s="1138">
        <v>734573</v>
      </c>
      <c r="BV48" s="1138">
        <v>2744691</v>
      </c>
      <c r="BW48" s="1138">
        <v>501232</v>
      </c>
      <c r="BX48" s="1138">
        <v>661076</v>
      </c>
      <c r="BY48" s="1138">
        <v>0</v>
      </c>
      <c r="BZ48" s="1138">
        <v>0</v>
      </c>
      <c r="CA48" s="1138">
        <v>6995822</v>
      </c>
      <c r="CB48" s="1138">
        <v>0</v>
      </c>
    </row>
    <row r="49" spans="1:80" x14ac:dyDescent="0.3">
      <c r="A49" s="269">
        <v>85</v>
      </c>
      <c r="B49" s="1002">
        <v>85</v>
      </c>
      <c r="C49" s="269" t="s">
        <v>229</v>
      </c>
      <c r="D49" s="269" t="s">
        <v>353</v>
      </c>
      <c r="E49" s="1138">
        <v>0</v>
      </c>
      <c r="F49" s="1138">
        <v>0</v>
      </c>
      <c r="G49" s="1138">
        <v>0</v>
      </c>
      <c r="H49" s="1138">
        <v>20758624</v>
      </c>
      <c r="I49" s="1138">
        <v>2759624</v>
      </c>
      <c r="J49" s="1138">
        <v>204186</v>
      </c>
      <c r="K49" s="1138">
        <v>880811</v>
      </c>
      <c r="L49" s="1138">
        <v>767374</v>
      </c>
      <c r="M49" s="1138">
        <v>14778880</v>
      </c>
      <c r="N49" s="1138">
        <v>0</v>
      </c>
      <c r="O49" s="1138">
        <v>685673</v>
      </c>
      <c r="P49" s="1138">
        <v>1381968</v>
      </c>
      <c r="Q49" s="1138">
        <v>0</v>
      </c>
      <c r="R49" s="1138">
        <v>3702948</v>
      </c>
      <c r="S49" s="1138">
        <v>5705398</v>
      </c>
      <c r="T49" s="1138">
        <v>6734325</v>
      </c>
      <c r="U49" s="1138">
        <v>0</v>
      </c>
      <c r="V49" s="1138">
        <v>15693940</v>
      </c>
      <c r="W49" s="1138">
        <v>0</v>
      </c>
      <c r="X49" s="1138">
        <v>0</v>
      </c>
      <c r="Y49" s="1138">
        <v>0</v>
      </c>
      <c r="Z49" s="1138">
        <v>1901158</v>
      </c>
      <c r="AA49" s="1138">
        <v>1245201</v>
      </c>
      <c r="AB49" s="1138">
        <v>1026609</v>
      </c>
      <c r="AC49" s="1138">
        <v>0</v>
      </c>
      <c r="AD49" s="1138">
        <v>106171</v>
      </c>
      <c r="AE49" s="1138">
        <v>936000</v>
      </c>
      <c r="AF49" s="1138">
        <v>2102249</v>
      </c>
      <c r="AG49" s="1138">
        <v>68648</v>
      </c>
      <c r="AH49" s="1138">
        <v>0</v>
      </c>
      <c r="AI49" s="1138">
        <v>0</v>
      </c>
      <c r="AJ49" s="1138">
        <v>460236</v>
      </c>
      <c r="AK49" s="1138">
        <v>6401129</v>
      </c>
      <c r="AL49" s="1138">
        <v>161445</v>
      </c>
      <c r="AM49" s="1138">
        <v>0</v>
      </c>
      <c r="AN49" s="1138">
        <v>4075888</v>
      </c>
      <c r="AO49" s="1138">
        <v>7424422</v>
      </c>
      <c r="AP49" s="1138">
        <v>96905</v>
      </c>
      <c r="AQ49" s="1138">
        <v>0</v>
      </c>
      <c r="AR49" s="1138">
        <v>9439191</v>
      </c>
      <c r="AS49" s="1138">
        <v>1144424</v>
      </c>
      <c r="AT49" s="1138">
        <v>404545</v>
      </c>
      <c r="AU49" s="1138">
        <v>2726278</v>
      </c>
      <c r="AV49" s="1138">
        <v>5995286</v>
      </c>
      <c r="AW49" s="1138">
        <v>324308</v>
      </c>
      <c r="AX49" s="1138">
        <v>548474</v>
      </c>
      <c r="AY49" s="1138">
        <v>991608</v>
      </c>
      <c r="AZ49" s="1138">
        <v>2215695</v>
      </c>
      <c r="BA49" s="1138">
        <v>2802578</v>
      </c>
      <c r="BB49" s="1138">
        <v>0</v>
      </c>
      <c r="BC49" s="1138">
        <v>0</v>
      </c>
      <c r="BD49" s="1138">
        <v>0</v>
      </c>
      <c r="BE49" s="1138">
        <v>0</v>
      </c>
      <c r="BF49" s="1138">
        <v>0</v>
      </c>
      <c r="BG49" s="1138">
        <v>353725</v>
      </c>
      <c r="BH49" s="1138">
        <v>0</v>
      </c>
      <c r="BI49" s="1138">
        <v>1588411</v>
      </c>
      <c r="BJ49" s="1138">
        <v>787504</v>
      </c>
      <c r="BK49" s="1138">
        <v>0</v>
      </c>
      <c r="BL49" s="1138">
        <v>2553533</v>
      </c>
      <c r="BM49" s="1138">
        <v>1885506</v>
      </c>
      <c r="BN49" s="1138">
        <v>0</v>
      </c>
      <c r="BO49" s="1138">
        <v>3657667</v>
      </c>
      <c r="BP49" s="1138">
        <v>929145</v>
      </c>
      <c r="BQ49" s="1138">
        <v>803842</v>
      </c>
      <c r="BR49" s="1138">
        <v>1308312</v>
      </c>
      <c r="BS49" s="1138">
        <v>0</v>
      </c>
      <c r="BT49" s="1138">
        <v>0</v>
      </c>
      <c r="BU49" s="1138">
        <v>823487</v>
      </c>
      <c r="BV49" s="1138">
        <v>2543353</v>
      </c>
      <c r="BW49" s="1138">
        <v>494115</v>
      </c>
      <c r="BX49" s="1138">
        <v>533894</v>
      </c>
      <c r="BY49" s="1138">
        <v>0</v>
      </c>
      <c r="BZ49" s="1138">
        <v>0</v>
      </c>
      <c r="CA49" s="1138">
        <v>6643575</v>
      </c>
      <c r="CB49" s="1138">
        <v>0</v>
      </c>
    </row>
    <row r="50" spans="1:80" x14ac:dyDescent="0.3">
      <c r="A50" s="269">
        <v>88</v>
      </c>
      <c r="B50" s="1002">
        <v>88</v>
      </c>
      <c r="C50" s="269" t="s">
        <v>226</v>
      </c>
      <c r="D50" s="269" t="s">
        <v>354</v>
      </c>
      <c r="E50" s="1138">
        <v>0</v>
      </c>
      <c r="F50" s="1138">
        <v>0</v>
      </c>
      <c r="G50" s="1138">
        <v>0</v>
      </c>
      <c r="H50" s="1138">
        <v>24481121</v>
      </c>
      <c r="I50" s="1138">
        <v>3952044</v>
      </c>
      <c r="J50" s="1138">
        <v>196639</v>
      </c>
      <c r="K50" s="1138">
        <v>825025</v>
      </c>
      <c r="L50" s="1138">
        <v>710920</v>
      </c>
      <c r="M50" s="1138">
        <v>15461482</v>
      </c>
      <c r="N50" s="1138">
        <v>0</v>
      </c>
      <c r="O50" s="1138">
        <v>658332</v>
      </c>
      <c r="P50" s="1138">
        <v>1269997</v>
      </c>
      <c r="Q50" s="1138">
        <v>0</v>
      </c>
      <c r="R50" s="1138">
        <v>4030550</v>
      </c>
      <c r="S50" s="1138">
        <v>6170977</v>
      </c>
      <c r="T50" s="1138">
        <v>6829583</v>
      </c>
      <c r="U50" s="1138">
        <v>0</v>
      </c>
      <c r="V50" s="1138">
        <v>16392896</v>
      </c>
      <c r="W50" s="1138">
        <v>0</v>
      </c>
      <c r="X50" s="1138">
        <v>0</v>
      </c>
      <c r="Y50" s="1138">
        <v>0</v>
      </c>
      <c r="Z50" s="1138">
        <v>2138196</v>
      </c>
      <c r="AA50" s="1138">
        <v>1315347</v>
      </c>
      <c r="AB50" s="1138">
        <v>1229765</v>
      </c>
      <c r="AC50" s="1138">
        <v>0</v>
      </c>
      <c r="AD50" s="1138">
        <v>99225</v>
      </c>
      <c r="AE50" s="1138">
        <v>847622</v>
      </c>
      <c r="AF50" s="1138">
        <v>2234168</v>
      </c>
      <c r="AG50" s="1138">
        <v>52759</v>
      </c>
      <c r="AH50" s="1138">
        <v>0</v>
      </c>
      <c r="AI50" s="1138">
        <v>0</v>
      </c>
      <c r="AJ50" s="1138">
        <v>464954</v>
      </c>
      <c r="AK50" s="1138">
        <v>7293082</v>
      </c>
      <c r="AL50" s="1138">
        <v>107500</v>
      </c>
      <c r="AM50" s="1138">
        <v>0</v>
      </c>
      <c r="AN50" s="1138">
        <v>6296015</v>
      </c>
      <c r="AO50" s="1138">
        <v>8914714</v>
      </c>
      <c r="AP50" s="1138">
        <v>125046</v>
      </c>
      <c r="AQ50" s="1138">
        <v>0</v>
      </c>
      <c r="AR50" s="1138">
        <v>10192681</v>
      </c>
      <c r="AS50" s="1138">
        <v>870554</v>
      </c>
      <c r="AT50" s="1138">
        <v>307393</v>
      </c>
      <c r="AU50" s="1138">
        <v>2068287</v>
      </c>
      <c r="AV50" s="1138">
        <v>7462667</v>
      </c>
      <c r="AW50" s="1138">
        <v>354243</v>
      </c>
      <c r="AX50" s="1138">
        <v>387621</v>
      </c>
      <c r="AY50" s="1138">
        <v>1098292</v>
      </c>
      <c r="AZ50" s="1138">
        <v>2084019</v>
      </c>
      <c r="BA50" s="1138">
        <v>2571936</v>
      </c>
      <c r="BB50" s="1138">
        <v>0</v>
      </c>
      <c r="BC50" s="1138">
        <v>0</v>
      </c>
      <c r="BD50" s="1138">
        <v>0</v>
      </c>
      <c r="BE50" s="1138">
        <v>0</v>
      </c>
      <c r="BF50" s="1138">
        <v>0</v>
      </c>
      <c r="BG50" s="1138">
        <v>202226</v>
      </c>
      <c r="BH50" s="1138">
        <v>0</v>
      </c>
      <c r="BI50" s="1138">
        <v>1461911</v>
      </c>
      <c r="BJ50" s="1138">
        <v>797586</v>
      </c>
      <c r="BK50" s="1138">
        <v>0</v>
      </c>
      <c r="BL50" s="1138">
        <v>2448866</v>
      </c>
      <c r="BM50" s="1138">
        <v>1900357</v>
      </c>
      <c r="BN50" s="1138">
        <v>0</v>
      </c>
      <c r="BO50" s="1138">
        <v>3451083</v>
      </c>
      <c r="BP50" s="1138">
        <v>1064494</v>
      </c>
      <c r="BQ50" s="1138">
        <v>648058</v>
      </c>
      <c r="BR50" s="1138">
        <v>1435748</v>
      </c>
      <c r="BS50" s="1138">
        <v>0</v>
      </c>
      <c r="BT50" s="1138">
        <v>0</v>
      </c>
      <c r="BU50" s="1138">
        <v>716394</v>
      </c>
      <c r="BV50" s="1138">
        <v>2374599</v>
      </c>
      <c r="BW50" s="1138">
        <v>498489</v>
      </c>
      <c r="BX50" s="1138">
        <v>629216</v>
      </c>
      <c r="BY50" s="1138">
        <v>0</v>
      </c>
      <c r="BZ50" s="1138">
        <v>0</v>
      </c>
      <c r="CA50" s="1138">
        <v>5752238</v>
      </c>
      <c r="CB50" s="1138">
        <v>0</v>
      </c>
    </row>
    <row r="51" spans="1:80" x14ac:dyDescent="0.3">
      <c r="A51" s="269">
        <v>89</v>
      </c>
      <c r="B51" s="1002">
        <v>89</v>
      </c>
      <c r="C51" s="269" t="s">
        <v>230</v>
      </c>
      <c r="D51" s="269" t="s">
        <v>355</v>
      </c>
      <c r="E51" s="1138">
        <v>0</v>
      </c>
      <c r="F51" s="1138">
        <v>0</v>
      </c>
      <c r="G51" s="1138">
        <v>0</v>
      </c>
      <c r="H51" s="1138">
        <v>2013025</v>
      </c>
      <c r="I51" s="1138">
        <v>40566</v>
      </c>
      <c r="J51" s="1138">
        <v>0</v>
      </c>
      <c r="K51" s="1138">
        <v>0</v>
      </c>
      <c r="L51" s="1138">
        <v>69848</v>
      </c>
      <c r="M51" s="1138">
        <v>1860747</v>
      </c>
      <c r="N51" s="1138">
        <v>0</v>
      </c>
      <c r="O51" s="1138">
        <v>905</v>
      </c>
      <c r="P51" s="1138">
        <v>1772</v>
      </c>
      <c r="Q51" s="1138">
        <v>0</v>
      </c>
      <c r="R51" s="1138">
        <v>0</v>
      </c>
      <c r="S51" s="1138">
        <v>60527</v>
      </c>
      <c r="T51" s="1138">
        <v>14470</v>
      </c>
      <c r="U51" s="1138">
        <v>0</v>
      </c>
      <c r="V51" s="1138">
        <v>149217</v>
      </c>
      <c r="W51" s="1138">
        <v>0</v>
      </c>
      <c r="X51" s="1138">
        <v>0</v>
      </c>
      <c r="Y51" s="1138">
        <v>0</v>
      </c>
      <c r="Z51" s="1138">
        <v>37685</v>
      </c>
      <c r="AA51" s="1138">
        <v>13936</v>
      </c>
      <c r="AB51" s="1138">
        <v>10323</v>
      </c>
      <c r="AC51" s="1138">
        <v>0</v>
      </c>
      <c r="AD51" s="1138">
        <v>0</v>
      </c>
      <c r="AE51" s="1138">
        <v>19727</v>
      </c>
      <c r="AF51" s="1138">
        <v>168575</v>
      </c>
      <c r="AG51" s="1138">
        <v>0</v>
      </c>
      <c r="AH51" s="1138">
        <v>0</v>
      </c>
      <c r="AI51" s="1138">
        <v>0</v>
      </c>
      <c r="AJ51" s="1138">
        <v>0</v>
      </c>
      <c r="AK51" s="1138">
        <v>133488</v>
      </c>
      <c r="AL51" s="1138">
        <v>0</v>
      </c>
      <c r="AM51" s="1138">
        <v>0</v>
      </c>
      <c r="AN51" s="1138">
        <v>182180</v>
      </c>
      <c r="AO51" s="1138">
        <v>114586</v>
      </c>
      <c r="AP51" s="1138">
        <v>0</v>
      </c>
      <c r="AQ51" s="1138">
        <v>0</v>
      </c>
      <c r="AR51" s="1138">
        <v>23478</v>
      </c>
      <c r="AS51" s="1138">
        <v>0</v>
      </c>
      <c r="AT51" s="1138">
        <v>6875</v>
      </c>
      <c r="AU51" s="1138">
        <v>0</v>
      </c>
      <c r="AV51" s="1138">
        <v>158795</v>
      </c>
      <c r="AW51" s="1138">
        <v>3395</v>
      </c>
      <c r="AX51" s="1138">
        <v>10042</v>
      </c>
      <c r="AY51" s="1138">
        <v>21430</v>
      </c>
      <c r="AZ51" s="1138">
        <v>5732</v>
      </c>
      <c r="BA51" s="1138">
        <v>106104</v>
      </c>
      <c r="BB51" s="1138">
        <v>0</v>
      </c>
      <c r="BC51" s="1138">
        <v>0</v>
      </c>
      <c r="BD51" s="1138">
        <v>0</v>
      </c>
      <c r="BE51" s="1138">
        <v>0</v>
      </c>
      <c r="BF51" s="1138">
        <v>0</v>
      </c>
      <c r="BG51" s="1138">
        <v>0</v>
      </c>
      <c r="BH51" s="1138">
        <v>0</v>
      </c>
      <c r="BI51" s="1138">
        <v>58913</v>
      </c>
      <c r="BJ51" s="1138">
        <v>34222</v>
      </c>
      <c r="BK51" s="1138">
        <v>0</v>
      </c>
      <c r="BL51" s="1138">
        <v>0</v>
      </c>
      <c r="BM51" s="1138">
        <v>9904</v>
      </c>
      <c r="BN51" s="1138">
        <v>0</v>
      </c>
      <c r="BO51" s="1138">
        <v>24323</v>
      </c>
      <c r="BP51" s="1138">
        <v>25576</v>
      </c>
      <c r="BQ51" s="1138">
        <v>25062</v>
      </c>
      <c r="BR51" s="1138">
        <v>0</v>
      </c>
      <c r="BS51" s="1138">
        <v>0</v>
      </c>
      <c r="BT51" s="1138">
        <v>0</v>
      </c>
      <c r="BU51" s="1138">
        <v>8700</v>
      </c>
      <c r="BV51" s="1138">
        <v>67554</v>
      </c>
      <c r="BW51" s="1138">
        <v>456</v>
      </c>
      <c r="BX51" s="1138">
        <v>0</v>
      </c>
      <c r="BY51" s="1138">
        <v>0</v>
      </c>
      <c r="BZ51" s="1138">
        <v>0</v>
      </c>
      <c r="CA51" s="1138">
        <v>112533</v>
      </c>
      <c r="CB51" s="1138">
        <v>0</v>
      </c>
    </row>
    <row r="52" spans="1:80" x14ac:dyDescent="0.3">
      <c r="A52" s="269">
        <v>90</v>
      </c>
      <c r="B52" s="1002">
        <v>90</v>
      </c>
      <c r="C52" s="269" t="s">
        <v>223</v>
      </c>
      <c r="D52" s="269" t="s">
        <v>356</v>
      </c>
      <c r="E52" s="1138">
        <v>0</v>
      </c>
      <c r="F52" s="1138">
        <v>0</v>
      </c>
      <c r="G52" s="1138">
        <v>0</v>
      </c>
      <c r="H52" s="1138">
        <v>0</v>
      </c>
      <c r="I52" s="1138">
        <v>0</v>
      </c>
      <c r="J52" s="1138">
        <v>0</v>
      </c>
      <c r="K52" s="1138">
        <v>0</v>
      </c>
      <c r="L52" s="1138">
        <v>0</v>
      </c>
      <c r="M52" s="1138">
        <v>0</v>
      </c>
      <c r="N52" s="1138">
        <v>0</v>
      </c>
      <c r="O52" s="1138">
        <v>0</v>
      </c>
      <c r="P52" s="1138">
        <v>0</v>
      </c>
      <c r="Q52" s="1138">
        <v>0</v>
      </c>
      <c r="R52" s="1138">
        <v>0</v>
      </c>
      <c r="S52" s="1138">
        <v>0</v>
      </c>
      <c r="T52" s="1138">
        <v>3053612</v>
      </c>
      <c r="U52" s="1138">
        <v>0</v>
      </c>
      <c r="V52" s="1138">
        <v>20320664</v>
      </c>
      <c r="W52" s="1138">
        <v>0</v>
      </c>
      <c r="X52" s="1138">
        <v>0</v>
      </c>
      <c r="Y52" s="1138">
        <v>0</v>
      </c>
      <c r="Z52" s="1138">
        <v>0</v>
      </c>
      <c r="AA52" s="1138">
        <v>713981</v>
      </c>
      <c r="AB52" s="1138">
        <v>943372</v>
      </c>
      <c r="AC52" s="1138">
        <v>0</v>
      </c>
      <c r="AD52" s="1138">
        <v>0</v>
      </c>
      <c r="AE52" s="1138">
        <v>0</v>
      </c>
      <c r="AF52" s="1138">
        <v>373389</v>
      </c>
      <c r="AG52" s="1138">
        <v>0</v>
      </c>
      <c r="AH52" s="1138">
        <v>0</v>
      </c>
      <c r="AI52" s="1138">
        <v>0</v>
      </c>
      <c r="AJ52" s="1138">
        <v>0</v>
      </c>
      <c r="AK52" s="1138">
        <v>3663452</v>
      </c>
      <c r="AL52" s="1138">
        <v>0</v>
      </c>
      <c r="AM52" s="1138">
        <v>0</v>
      </c>
      <c r="AN52" s="1138">
        <v>0</v>
      </c>
      <c r="AO52" s="1138">
        <v>0</v>
      </c>
      <c r="AP52" s="1138">
        <v>0</v>
      </c>
      <c r="AQ52" s="1138">
        <v>0</v>
      </c>
      <c r="AR52" s="1138">
        <v>12061008</v>
      </c>
      <c r="AS52" s="1138">
        <v>0</v>
      </c>
      <c r="AT52" s="1138">
        <v>0</v>
      </c>
      <c r="AU52" s="1138">
        <v>0</v>
      </c>
      <c r="AV52" s="1138">
        <v>3470078</v>
      </c>
      <c r="AW52" s="1138">
        <v>0</v>
      </c>
      <c r="AX52" s="1138">
        <v>0</v>
      </c>
      <c r="AY52" s="1138">
        <v>0</v>
      </c>
      <c r="AZ52" s="1138">
        <v>0</v>
      </c>
      <c r="BA52" s="1138">
        <v>1926345</v>
      </c>
      <c r="BB52" s="1138">
        <v>0</v>
      </c>
      <c r="BC52" s="1138">
        <v>0</v>
      </c>
      <c r="BD52" s="1138">
        <v>0</v>
      </c>
      <c r="BE52" s="1138">
        <v>0</v>
      </c>
      <c r="BF52" s="1138">
        <v>0</v>
      </c>
      <c r="BG52" s="1138">
        <v>269776</v>
      </c>
      <c r="BH52" s="1138">
        <v>0</v>
      </c>
      <c r="BI52" s="1138">
        <v>0</v>
      </c>
      <c r="BJ52" s="1138">
        <v>0</v>
      </c>
      <c r="BK52" s="1138">
        <v>0</v>
      </c>
      <c r="BL52" s="1138">
        <v>1246472</v>
      </c>
      <c r="BM52" s="1138">
        <v>0</v>
      </c>
      <c r="BN52" s="1138">
        <v>0</v>
      </c>
      <c r="BO52" s="1138">
        <v>0</v>
      </c>
      <c r="BP52" s="1138">
        <v>0</v>
      </c>
      <c r="BQ52" s="1138">
        <v>0</v>
      </c>
      <c r="BR52" s="1138">
        <v>0</v>
      </c>
      <c r="BS52" s="1138">
        <v>0</v>
      </c>
      <c r="BT52" s="1138">
        <v>0</v>
      </c>
      <c r="BU52" s="1138">
        <v>0</v>
      </c>
      <c r="BV52" s="1138">
        <v>0</v>
      </c>
      <c r="BW52" s="1138">
        <v>0</v>
      </c>
      <c r="BX52" s="1138">
        <v>0</v>
      </c>
      <c r="BY52" s="1138">
        <v>0</v>
      </c>
      <c r="BZ52" s="1138">
        <v>0</v>
      </c>
      <c r="CA52" s="1138">
        <v>0</v>
      </c>
      <c r="CB52" s="1138">
        <v>0</v>
      </c>
    </row>
    <row r="53" spans="1:80" x14ac:dyDescent="0.3">
      <c r="A53" s="269">
        <v>91</v>
      </c>
      <c r="B53" s="1002">
        <v>91</v>
      </c>
      <c r="C53" s="269" t="s">
        <v>224</v>
      </c>
      <c r="D53" s="269" t="s">
        <v>357</v>
      </c>
      <c r="E53" s="1138">
        <v>0</v>
      </c>
      <c r="F53" s="1138">
        <v>0</v>
      </c>
      <c r="G53" s="1138">
        <v>0</v>
      </c>
      <c r="H53" s="1138">
        <v>0</v>
      </c>
      <c r="I53" s="1138">
        <v>0</v>
      </c>
      <c r="J53" s="1138">
        <v>0</v>
      </c>
      <c r="K53" s="1138">
        <v>0</v>
      </c>
      <c r="L53" s="1138">
        <v>0</v>
      </c>
      <c r="M53" s="1138">
        <v>0</v>
      </c>
      <c r="N53" s="1138">
        <v>0</v>
      </c>
      <c r="O53" s="1138">
        <v>0</v>
      </c>
      <c r="P53" s="1138">
        <v>0</v>
      </c>
      <c r="Q53" s="1138">
        <v>0</v>
      </c>
      <c r="R53" s="1138">
        <v>0</v>
      </c>
      <c r="S53" s="1138">
        <v>0</v>
      </c>
      <c r="T53" s="1138">
        <v>2518297</v>
      </c>
      <c r="U53" s="1138">
        <v>0</v>
      </c>
      <c r="V53" s="1138">
        <v>6070522</v>
      </c>
      <c r="W53" s="1138">
        <v>0</v>
      </c>
      <c r="X53" s="1138">
        <v>0</v>
      </c>
      <c r="Y53" s="1138">
        <v>0</v>
      </c>
      <c r="Z53" s="1138">
        <v>0</v>
      </c>
      <c r="AA53" s="1138">
        <v>190455</v>
      </c>
      <c r="AB53" s="1138">
        <v>0</v>
      </c>
      <c r="AC53" s="1138">
        <v>0</v>
      </c>
      <c r="AD53" s="1138">
        <v>0</v>
      </c>
      <c r="AE53" s="1138">
        <v>0</v>
      </c>
      <c r="AF53" s="1138">
        <v>885959</v>
      </c>
      <c r="AG53" s="1138">
        <v>0</v>
      </c>
      <c r="AH53" s="1138">
        <v>0</v>
      </c>
      <c r="AI53" s="1138">
        <v>0</v>
      </c>
      <c r="AJ53" s="1138">
        <v>0</v>
      </c>
      <c r="AK53" s="1138">
        <v>1226549</v>
      </c>
      <c r="AL53" s="1138">
        <v>0</v>
      </c>
      <c r="AM53" s="1138">
        <v>0</v>
      </c>
      <c r="AN53" s="1138">
        <v>0</v>
      </c>
      <c r="AO53" s="1138">
        <v>0</v>
      </c>
      <c r="AP53" s="1138">
        <v>0</v>
      </c>
      <c r="AQ53" s="1138">
        <v>0</v>
      </c>
      <c r="AR53" s="1138">
        <v>6599193</v>
      </c>
      <c r="AS53" s="1138">
        <v>0</v>
      </c>
      <c r="AT53" s="1138">
        <v>0</v>
      </c>
      <c r="AU53" s="1138">
        <v>0</v>
      </c>
      <c r="AV53" s="1138">
        <v>664046</v>
      </c>
      <c r="AW53" s="1138">
        <v>0</v>
      </c>
      <c r="AX53" s="1138">
        <v>0</v>
      </c>
      <c r="AY53" s="1138">
        <v>0</v>
      </c>
      <c r="AZ53" s="1138">
        <v>0</v>
      </c>
      <c r="BA53" s="1138">
        <v>744070</v>
      </c>
      <c r="BB53" s="1138">
        <v>0</v>
      </c>
      <c r="BC53" s="1138">
        <v>0</v>
      </c>
      <c r="BD53" s="1138">
        <v>0</v>
      </c>
      <c r="BE53" s="1138">
        <v>0</v>
      </c>
      <c r="BF53" s="1138">
        <v>0</v>
      </c>
      <c r="BG53" s="1138">
        <v>69434</v>
      </c>
      <c r="BH53" s="1138">
        <v>0</v>
      </c>
      <c r="BI53" s="1138">
        <v>0</v>
      </c>
      <c r="BJ53" s="1138">
        <v>0</v>
      </c>
      <c r="BK53" s="1138">
        <v>0</v>
      </c>
      <c r="BL53" s="1138">
        <v>635607</v>
      </c>
      <c r="BM53" s="1138">
        <v>0</v>
      </c>
      <c r="BN53" s="1138">
        <v>0</v>
      </c>
      <c r="BO53" s="1138">
        <v>0</v>
      </c>
      <c r="BP53" s="1138">
        <v>0</v>
      </c>
      <c r="BQ53" s="1138">
        <v>0</v>
      </c>
      <c r="BR53" s="1138">
        <v>0</v>
      </c>
      <c r="BS53" s="1138">
        <v>0</v>
      </c>
      <c r="BT53" s="1138">
        <v>0</v>
      </c>
      <c r="BU53" s="1138">
        <v>0</v>
      </c>
      <c r="BV53" s="1138">
        <v>0</v>
      </c>
      <c r="BW53" s="1138">
        <v>0</v>
      </c>
      <c r="BX53" s="1138">
        <v>0</v>
      </c>
      <c r="BY53" s="1138">
        <v>0</v>
      </c>
      <c r="BZ53" s="1138">
        <v>0</v>
      </c>
      <c r="CA53" s="1138">
        <v>0</v>
      </c>
      <c r="CB53" s="1138">
        <v>0</v>
      </c>
    </row>
    <row r="54" spans="1:80" x14ac:dyDescent="0.3">
      <c r="B54" s="1002">
        <v>92</v>
      </c>
      <c r="C54" s="269" t="s">
        <v>632</v>
      </c>
      <c r="D54" s="269" t="s">
        <v>358</v>
      </c>
      <c r="E54" s="1138"/>
      <c r="F54" s="1138"/>
      <c r="G54" s="1138"/>
      <c r="H54" s="1138"/>
      <c r="I54" s="1138"/>
      <c r="J54" s="1138"/>
      <c r="K54" s="1138"/>
      <c r="L54" s="1138"/>
      <c r="M54" s="1138"/>
      <c r="N54" s="1138"/>
      <c r="O54" s="1138"/>
      <c r="P54" s="1138"/>
      <c r="Q54" s="1138"/>
      <c r="R54" s="1138"/>
      <c r="S54" s="1138"/>
      <c r="T54" s="1138"/>
      <c r="U54" s="1138"/>
      <c r="V54" s="1138"/>
      <c r="W54" s="1138"/>
      <c r="X54" s="1138"/>
      <c r="Y54" s="1138"/>
      <c r="Z54" s="1138"/>
      <c r="AA54" s="1138"/>
      <c r="AB54" s="1138"/>
      <c r="AC54" s="1138"/>
      <c r="AD54" s="1138"/>
      <c r="AE54" s="1138"/>
      <c r="AF54" s="1138"/>
      <c r="AG54" s="1138"/>
      <c r="AH54" s="1138"/>
      <c r="AI54" s="1138"/>
      <c r="AJ54" s="1138"/>
      <c r="AK54" s="1138"/>
      <c r="AL54" s="1138"/>
      <c r="AM54" s="1138"/>
      <c r="AN54" s="1138"/>
      <c r="AO54" s="1138"/>
      <c r="AP54" s="1138"/>
      <c r="AQ54" s="1138"/>
      <c r="AR54" s="1138"/>
      <c r="AS54" s="1138"/>
      <c r="AT54" s="1138"/>
      <c r="AU54" s="1138"/>
      <c r="AV54" s="1138"/>
      <c r="AW54" s="1138"/>
      <c r="AX54" s="1138"/>
      <c r="AY54" s="1138"/>
      <c r="AZ54" s="1138"/>
      <c r="BA54" s="1138"/>
      <c r="BB54" s="1138"/>
      <c r="BC54" s="1138"/>
      <c r="BD54" s="1138"/>
      <c r="BE54" s="1138"/>
      <c r="BF54" s="1138"/>
      <c r="BG54" s="1138"/>
      <c r="BH54" s="1138"/>
      <c r="BI54" s="1138"/>
      <c r="BJ54" s="1138"/>
      <c r="BK54" s="1138"/>
      <c r="BL54" s="1138"/>
      <c r="BM54" s="1138"/>
      <c r="BN54" s="1138"/>
      <c r="BO54" s="1138"/>
      <c r="BP54" s="1138"/>
      <c r="BQ54" s="1138"/>
      <c r="BR54" s="1138"/>
      <c r="BS54" s="1138"/>
      <c r="BT54" s="1138"/>
      <c r="BU54" s="1138"/>
      <c r="BV54" s="1138"/>
      <c r="BW54" s="1138"/>
      <c r="BX54" s="1138"/>
      <c r="BY54" s="1138"/>
      <c r="BZ54" s="1138"/>
      <c r="CA54" s="1138"/>
      <c r="CB54" s="1138"/>
    </row>
    <row r="55" spans="1:80" x14ac:dyDescent="0.3">
      <c r="A55" s="269">
        <v>93</v>
      </c>
      <c r="B55" s="1002">
        <v>93</v>
      </c>
      <c r="C55" s="269" t="s">
        <v>237</v>
      </c>
      <c r="D55" s="269" t="s">
        <v>359</v>
      </c>
      <c r="E55" s="1138">
        <v>0</v>
      </c>
      <c r="F55" s="1138">
        <v>0</v>
      </c>
      <c r="G55" s="1138">
        <v>0</v>
      </c>
      <c r="H55" s="1138">
        <v>0</v>
      </c>
      <c r="I55" s="1138">
        <v>0</v>
      </c>
      <c r="J55" s="1138">
        <v>0</v>
      </c>
      <c r="K55" s="1138">
        <v>0</v>
      </c>
      <c r="L55" s="1138">
        <v>0</v>
      </c>
      <c r="M55" s="1138">
        <v>0</v>
      </c>
      <c r="N55" s="1138">
        <v>0</v>
      </c>
      <c r="O55" s="1138">
        <v>0</v>
      </c>
      <c r="P55" s="1138">
        <v>0</v>
      </c>
      <c r="Q55" s="1138">
        <v>0</v>
      </c>
      <c r="R55" s="1138">
        <v>0</v>
      </c>
      <c r="S55" s="1138">
        <v>0</v>
      </c>
      <c r="T55" s="1138">
        <v>14195450</v>
      </c>
      <c r="U55" s="1138">
        <v>0</v>
      </c>
      <c r="V55" s="1138">
        <v>48530615</v>
      </c>
      <c r="W55" s="1138">
        <v>0</v>
      </c>
      <c r="X55" s="1138">
        <v>0</v>
      </c>
      <c r="Y55" s="1138">
        <v>0</v>
      </c>
      <c r="Z55" s="1138">
        <v>0</v>
      </c>
      <c r="AA55" s="1138">
        <v>3572570</v>
      </c>
      <c r="AB55" s="1138">
        <v>1092371</v>
      </c>
      <c r="AC55" s="1138">
        <v>0</v>
      </c>
      <c r="AD55" s="1138">
        <v>0</v>
      </c>
      <c r="AE55" s="1138">
        <v>0</v>
      </c>
      <c r="AF55" s="1138">
        <v>6956588</v>
      </c>
      <c r="AG55" s="1138">
        <v>0</v>
      </c>
      <c r="AH55" s="1138">
        <v>0</v>
      </c>
      <c r="AI55" s="1138">
        <v>0</v>
      </c>
      <c r="AJ55" s="1138">
        <v>0</v>
      </c>
      <c r="AK55" s="1138">
        <v>15527579</v>
      </c>
      <c r="AL55" s="1138">
        <v>0</v>
      </c>
      <c r="AM55" s="1138">
        <v>0</v>
      </c>
      <c r="AN55" s="1138">
        <v>0</v>
      </c>
      <c r="AO55" s="1138">
        <v>0</v>
      </c>
      <c r="AP55" s="1138">
        <v>0</v>
      </c>
      <c r="AQ55" s="1138">
        <v>0</v>
      </c>
      <c r="AR55" s="1138">
        <v>50877723</v>
      </c>
      <c r="AS55" s="1138">
        <v>0</v>
      </c>
      <c r="AT55" s="1138">
        <v>0</v>
      </c>
      <c r="AU55" s="1138">
        <v>0</v>
      </c>
      <c r="AV55" s="1138">
        <v>8162948</v>
      </c>
      <c r="AW55" s="1138">
        <v>0</v>
      </c>
      <c r="AX55" s="1138">
        <v>0</v>
      </c>
      <c r="AY55" s="1138">
        <v>0</v>
      </c>
      <c r="AZ55" s="1138">
        <v>0</v>
      </c>
      <c r="BA55" s="1138">
        <v>7110893</v>
      </c>
      <c r="BB55" s="1138">
        <v>0</v>
      </c>
      <c r="BC55" s="1138">
        <v>0</v>
      </c>
      <c r="BD55" s="1138">
        <v>0</v>
      </c>
      <c r="BE55" s="1138">
        <v>0</v>
      </c>
      <c r="BF55" s="1138">
        <v>0</v>
      </c>
      <c r="BG55" s="1138">
        <v>462912</v>
      </c>
      <c r="BH55" s="1138">
        <v>0</v>
      </c>
      <c r="BI55" s="1138">
        <v>0</v>
      </c>
      <c r="BJ55" s="1138">
        <v>0</v>
      </c>
      <c r="BK55" s="1138">
        <v>0</v>
      </c>
      <c r="BL55" s="1138">
        <v>7455722</v>
      </c>
      <c r="BM55" s="1138">
        <v>0</v>
      </c>
      <c r="BN55" s="1138">
        <v>0</v>
      </c>
      <c r="BO55" s="1138">
        <v>0</v>
      </c>
      <c r="BP55" s="1138">
        <v>0</v>
      </c>
      <c r="BQ55" s="1138">
        <v>0</v>
      </c>
      <c r="BR55" s="1138">
        <v>0</v>
      </c>
      <c r="BS55" s="1138">
        <v>0</v>
      </c>
      <c r="BT55" s="1138">
        <v>0</v>
      </c>
      <c r="BU55" s="1138">
        <v>0</v>
      </c>
      <c r="BV55" s="1138">
        <v>0</v>
      </c>
      <c r="BW55" s="1138">
        <v>0</v>
      </c>
      <c r="BX55" s="1138">
        <v>0</v>
      </c>
      <c r="BY55" s="1138">
        <v>0</v>
      </c>
      <c r="BZ55" s="1138">
        <v>0</v>
      </c>
      <c r="CA55" s="1138">
        <v>0</v>
      </c>
      <c r="CB55" s="1138">
        <v>0</v>
      </c>
    </row>
    <row r="56" spans="1:80" x14ac:dyDescent="0.3">
      <c r="A56" s="269">
        <v>94</v>
      </c>
      <c r="B56" s="1002">
        <v>94</v>
      </c>
      <c r="C56" s="269" t="s">
        <v>240</v>
      </c>
      <c r="D56" s="269" t="s">
        <v>360</v>
      </c>
      <c r="E56" s="1138">
        <v>0</v>
      </c>
      <c r="F56" s="1138">
        <v>0</v>
      </c>
      <c r="G56" s="1138">
        <v>0</v>
      </c>
      <c r="H56" s="1138">
        <v>0</v>
      </c>
      <c r="I56" s="1138">
        <v>0</v>
      </c>
      <c r="J56" s="1138">
        <v>0</v>
      </c>
      <c r="K56" s="1138">
        <v>0</v>
      </c>
      <c r="L56" s="1138">
        <v>0</v>
      </c>
      <c r="M56" s="1138">
        <v>0</v>
      </c>
      <c r="N56" s="1138">
        <v>0</v>
      </c>
      <c r="O56" s="1138">
        <v>0</v>
      </c>
      <c r="P56" s="1138">
        <v>0</v>
      </c>
      <c r="Q56" s="1138">
        <v>0</v>
      </c>
      <c r="R56" s="1138">
        <v>0</v>
      </c>
      <c r="S56" s="1138">
        <v>0</v>
      </c>
      <c r="T56" s="1138">
        <v>10923406</v>
      </c>
      <c r="U56" s="1138">
        <v>0</v>
      </c>
      <c r="V56" s="1138">
        <v>39847221</v>
      </c>
      <c r="W56" s="1138">
        <v>0</v>
      </c>
      <c r="X56" s="1138">
        <v>0</v>
      </c>
      <c r="Y56" s="1138">
        <v>0</v>
      </c>
      <c r="Z56" s="1138">
        <v>0</v>
      </c>
      <c r="AA56" s="1138">
        <v>3549651</v>
      </c>
      <c r="AB56" s="1138">
        <v>483022</v>
      </c>
      <c r="AC56" s="1138">
        <v>0</v>
      </c>
      <c r="AD56" s="1138">
        <v>0</v>
      </c>
      <c r="AE56" s="1138">
        <v>0</v>
      </c>
      <c r="AF56" s="1138">
        <v>6466229</v>
      </c>
      <c r="AG56" s="1138">
        <v>0</v>
      </c>
      <c r="AH56" s="1138">
        <v>0</v>
      </c>
      <c r="AI56" s="1138">
        <v>0</v>
      </c>
      <c r="AJ56" s="1138">
        <v>0</v>
      </c>
      <c r="AK56" s="1138">
        <v>14015407</v>
      </c>
      <c r="AL56" s="1138">
        <v>0</v>
      </c>
      <c r="AM56" s="1138">
        <v>0</v>
      </c>
      <c r="AN56" s="1138">
        <v>0</v>
      </c>
      <c r="AO56" s="1138">
        <v>0</v>
      </c>
      <c r="AP56" s="1138">
        <v>0</v>
      </c>
      <c r="AQ56" s="1138">
        <v>0</v>
      </c>
      <c r="AR56" s="1138">
        <v>46604187</v>
      </c>
      <c r="AS56" s="1138">
        <v>0</v>
      </c>
      <c r="AT56" s="1138">
        <v>0</v>
      </c>
      <c r="AU56" s="1138">
        <v>0</v>
      </c>
      <c r="AV56" s="1138">
        <v>7403339</v>
      </c>
      <c r="AW56" s="1138">
        <v>0</v>
      </c>
      <c r="AX56" s="1138">
        <v>0</v>
      </c>
      <c r="AY56" s="1138">
        <v>0</v>
      </c>
      <c r="AZ56" s="1138">
        <v>0</v>
      </c>
      <c r="BA56" s="1138">
        <v>6678018</v>
      </c>
      <c r="BB56" s="1138">
        <v>0</v>
      </c>
      <c r="BC56" s="1138">
        <v>0</v>
      </c>
      <c r="BD56" s="1138">
        <v>0</v>
      </c>
      <c r="BE56" s="1138">
        <v>0</v>
      </c>
      <c r="BF56" s="1138">
        <v>0</v>
      </c>
      <c r="BG56" s="1138">
        <v>476751</v>
      </c>
      <c r="BH56" s="1138">
        <v>0</v>
      </c>
      <c r="BI56" s="1138">
        <v>0</v>
      </c>
      <c r="BJ56" s="1138">
        <v>0</v>
      </c>
      <c r="BK56" s="1138">
        <v>0</v>
      </c>
      <c r="BL56" s="1138">
        <v>7243906</v>
      </c>
      <c r="BM56" s="1138">
        <v>0</v>
      </c>
      <c r="BN56" s="1138">
        <v>0</v>
      </c>
      <c r="BO56" s="1138">
        <v>0</v>
      </c>
      <c r="BP56" s="1138">
        <v>0</v>
      </c>
      <c r="BQ56" s="1138">
        <v>0</v>
      </c>
      <c r="BR56" s="1138">
        <v>0</v>
      </c>
      <c r="BS56" s="1138">
        <v>0</v>
      </c>
      <c r="BT56" s="1138">
        <v>0</v>
      </c>
      <c r="BU56" s="1138">
        <v>0</v>
      </c>
      <c r="BV56" s="1138">
        <v>0</v>
      </c>
      <c r="BW56" s="1138">
        <v>0</v>
      </c>
      <c r="BX56" s="1138">
        <v>0</v>
      </c>
      <c r="BY56" s="1138">
        <v>0</v>
      </c>
      <c r="BZ56" s="1138">
        <v>0</v>
      </c>
      <c r="CA56" s="1138">
        <v>0</v>
      </c>
      <c r="CB56" s="1138">
        <v>0</v>
      </c>
    </row>
    <row r="57" spans="1:80" x14ac:dyDescent="0.3">
      <c r="A57" s="269">
        <v>97</v>
      </c>
      <c r="B57" s="1002">
        <v>97</v>
      </c>
      <c r="C57" s="269" t="s">
        <v>236</v>
      </c>
      <c r="D57" s="269" t="s">
        <v>361</v>
      </c>
      <c r="E57" s="1138">
        <v>0</v>
      </c>
      <c r="F57" s="1138">
        <v>0</v>
      </c>
      <c r="G57" s="1138">
        <v>0</v>
      </c>
      <c r="H57" s="1138">
        <v>0</v>
      </c>
      <c r="I57" s="1138">
        <v>0</v>
      </c>
      <c r="J57" s="1138">
        <v>0</v>
      </c>
      <c r="K57" s="1138">
        <v>0</v>
      </c>
      <c r="L57" s="1138">
        <v>0</v>
      </c>
      <c r="M57" s="1138">
        <v>0</v>
      </c>
      <c r="N57" s="1138">
        <v>0</v>
      </c>
      <c r="O57" s="1138">
        <v>0</v>
      </c>
      <c r="P57" s="1138">
        <v>0</v>
      </c>
      <c r="Q57" s="1138">
        <v>0</v>
      </c>
      <c r="R57" s="1138">
        <v>0</v>
      </c>
      <c r="S57" s="1138">
        <v>0</v>
      </c>
      <c r="T57" s="1138">
        <v>13652071</v>
      </c>
      <c r="U57" s="1138">
        <v>0</v>
      </c>
      <c r="V57" s="1138">
        <v>48421524</v>
      </c>
      <c r="W57" s="1138">
        <v>0</v>
      </c>
      <c r="X57" s="1138">
        <v>0</v>
      </c>
      <c r="Y57" s="1138">
        <v>0</v>
      </c>
      <c r="Z57" s="1138">
        <v>0</v>
      </c>
      <c r="AA57" s="1138">
        <v>3568285</v>
      </c>
      <c r="AB57" s="1138">
        <v>1092371</v>
      </c>
      <c r="AC57" s="1138">
        <v>0</v>
      </c>
      <c r="AD57" s="1138">
        <v>0</v>
      </c>
      <c r="AE57" s="1138">
        <v>0</v>
      </c>
      <c r="AF57" s="1138">
        <v>6798874</v>
      </c>
      <c r="AG57" s="1138">
        <v>0</v>
      </c>
      <c r="AH57" s="1138">
        <v>0</v>
      </c>
      <c r="AI57" s="1138">
        <v>0</v>
      </c>
      <c r="AJ57" s="1138">
        <v>0</v>
      </c>
      <c r="AK57" s="1138">
        <v>14686949</v>
      </c>
      <c r="AL57" s="1138">
        <v>0</v>
      </c>
      <c r="AM57" s="1138">
        <v>0</v>
      </c>
      <c r="AN57" s="1138">
        <v>0</v>
      </c>
      <c r="AO57" s="1138">
        <v>0</v>
      </c>
      <c r="AP57" s="1138">
        <v>0</v>
      </c>
      <c r="AQ57" s="1138">
        <v>0</v>
      </c>
      <c r="AR57" s="1138">
        <v>50192272</v>
      </c>
      <c r="AS57" s="1138">
        <v>0</v>
      </c>
      <c r="AT57" s="1138">
        <v>0</v>
      </c>
      <c r="AU57" s="1138">
        <v>0</v>
      </c>
      <c r="AV57" s="1138">
        <v>7008624</v>
      </c>
      <c r="AW57" s="1138">
        <v>0</v>
      </c>
      <c r="AX57" s="1138">
        <v>0</v>
      </c>
      <c r="AY57" s="1138">
        <v>0</v>
      </c>
      <c r="AZ57" s="1138">
        <v>0</v>
      </c>
      <c r="BA57" s="1138">
        <v>7015717</v>
      </c>
      <c r="BB57" s="1138">
        <v>0</v>
      </c>
      <c r="BC57" s="1138">
        <v>0</v>
      </c>
      <c r="BD57" s="1138">
        <v>0</v>
      </c>
      <c r="BE57" s="1138">
        <v>0</v>
      </c>
      <c r="BF57" s="1138">
        <v>0</v>
      </c>
      <c r="BG57" s="1138">
        <v>453779</v>
      </c>
      <c r="BH57" s="1138">
        <v>0</v>
      </c>
      <c r="BI57" s="1138">
        <v>0</v>
      </c>
      <c r="BJ57" s="1138">
        <v>0</v>
      </c>
      <c r="BK57" s="1138">
        <v>0</v>
      </c>
      <c r="BL57" s="1138">
        <v>7455722</v>
      </c>
      <c r="BM57" s="1138">
        <v>0</v>
      </c>
      <c r="BN57" s="1138">
        <v>0</v>
      </c>
      <c r="BO57" s="1138">
        <v>0</v>
      </c>
      <c r="BP57" s="1138">
        <v>0</v>
      </c>
      <c r="BQ57" s="1138">
        <v>0</v>
      </c>
      <c r="BR57" s="1138">
        <v>0</v>
      </c>
      <c r="BS57" s="1138">
        <v>0</v>
      </c>
      <c r="BT57" s="1138">
        <v>0</v>
      </c>
      <c r="BU57" s="1138">
        <v>0</v>
      </c>
      <c r="BV57" s="1138">
        <v>0</v>
      </c>
      <c r="BW57" s="1138">
        <v>0</v>
      </c>
      <c r="BX57" s="1138">
        <v>0</v>
      </c>
      <c r="BY57" s="1138">
        <v>0</v>
      </c>
      <c r="BZ57" s="1138">
        <v>0</v>
      </c>
      <c r="CA57" s="1138">
        <v>0</v>
      </c>
      <c r="CB57" s="1138">
        <v>0</v>
      </c>
    </row>
    <row r="58" spans="1:80" x14ac:dyDescent="0.3">
      <c r="A58" s="269">
        <v>98</v>
      </c>
      <c r="B58" s="1002">
        <v>98</v>
      </c>
      <c r="C58" s="269" t="s">
        <v>241</v>
      </c>
      <c r="D58" s="269" t="s">
        <v>362</v>
      </c>
      <c r="E58" s="1138">
        <v>0</v>
      </c>
      <c r="F58" s="1138">
        <v>0</v>
      </c>
      <c r="G58" s="1138">
        <v>0</v>
      </c>
      <c r="H58" s="1138">
        <v>0</v>
      </c>
      <c r="I58" s="1138">
        <v>0</v>
      </c>
      <c r="J58" s="1138">
        <v>0</v>
      </c>
      <c r="K58" s="1138">
        <v>0</v>
      </c>
      <c r="L58" s="1138">
        <v>0</v>
      </c>
      <c r="M58" s="1138">
        <v>0</v>
      </c>
      <c r="N58" s="1138">
        <v>0</v>
      </c>
      <c r="O58" s="1138">
        <v>0</v>
      </c>
      <c r="P58" s="1138">
        <v>0</v>
      </c>
      <c r="Q58" s="1138">
        <v>0</v>
      </c>
      <c r="R58" s="1138">
        <v>0</v>
      </c>
      <c r="S58" s="1138">
        <v>0</v>
      </c>
      <c r="T58" s="1138">
        <v>8239</v>
      </c>
      <c r="U58" s="1138">
        <v>0</v>
      </c>
      <c r="V58" s="1138">
        <v>39384</v>
      </c>
      <c r="W58" s="1138">
        <v>0</v>
      </c>
      <c r="X58" s="1138">
        <v>0</v>
      </c>
      <c r="Y58" s="1138">
        <v>0</v>
      </c>
      <c r="Z58" s="1138">
        <v>0</v>
      </c>
      <c r="AA58" s="1138">
        <v>4742</v>
      </c>
      <c r="AB58" s="1138">
        <v>0</v>
      </c>
      <c r="AC58" s="1138">
        <v>0</v>
      </c>
      <c r="AD58" s="1138">
        <v>0</v>
      </c>
      <c r="AE58" s="1138">
        <v>0</v>
      </c>
      <c r="AF58" s="1138">
        <v>12908</v>
      </c>
      <c r="AG58" s="1138">
        <v>0</v>
      </c>
      <c r="AH58" s="1138">
        <v>0</v>
      </c>
      <c r="AI58" s="1138">
        <v>0</v>
      </c>
      <c r="AJ58" s="1138">
        <v>0</v>
      </c>
      <c r="AK58" s="1138">
        <v>45551</v>
      </c>
      <c r="AL58" s="1138">
        <v>0</v>
      </c>
      <c r="AM58" s="1138">
        <v>0</v>
      </c>
      <c r="AN58" s="1138">
        <v>0</v>
      </c>
      <c r="AO58" s="1138">
        <v>0</v>
      </c>
      <c r="AP58" s="1138">
        <v>0</v>
      </c>
      <c r="AQ58" s="1138">
        <v>0</v>
      </c>
      <c r="AR58" s="1138">
        <v>131967</v>
      </c>
      <c r="AS58" s="1138">
        <v>0</v>
      </c>
      <c r="AT58" s="1138">
        <v>0</v>
      </c>
      <c r="AU58" s="1138">
        <v>0</v>
      </c>
      <c r="AV58" s="1138">
        <v>0</v>
      </c>
      <c r="AW58" s="1138">
        <v>0</v>
      </c>
      <c r="AX58" s="1138">
        <v>0</v>
      </c>
      <c r="AY58" s="1138">
        <v>0</v>
      </c>
      <c r="AZ58" s="1138">
        <v>0</v>
      </c>
      <c r="BA58" s="1138">
        <v>13393</v>
      </c>
      <c r="BB58" s="1138">
        <v>0</v>
      </c>
      <c r="BC58" s="1138">
        <v>0</v>
      </c>
      <c r="BD58" s="1138">
        <v>0</v>
      </c>
      <c r="BE58" s="1138">
        <v>0</v>
      </c>
      <c r="BF58" s="1138">
        <v>0</v>
      </c>
      <c r="BG58" s="1138">
        <v>0</v>
      </c>
      <c r="BH58" s="1138">
        <v>0</v>
      </c>
      <c r="BI58" s="1138">
        <v>0</v>
      </c>
      <c r="BJ58" s="1138">
        <v>0</v>
      </c>
      <c r="BK58" s="1138">
        <v>0</v>
      </c>
      <c r="BL58" s="1138">
        <v>0</v>
      </c>
      <c r="BM58" s="1138">
        <v>0</v>
      </c>
      <c r="BN58" s="1138">
        <v>0</v>
      </c>
      <c r="BO58" s="1138">
        <v>0</v>
      </c>
      <c r="BP58" s="1138">
        <v>0</v>
      </c>
      <c r="BQ58" s="1138">
        <v>0</v>
      </c>
      <c r="BR58" s="1138">
        <v>0</v>
      </c>
      <c r="BS58" s="1138">
        <v>0</v>
      </c>
      <c r="BT58" s="1138">
        <v>0</v>
      </c>
      <c r="BU58" s="1138">
        <v>0</v>
      </c>
      <c r="BV58" s="1138">
        <v>0</v>
      </c>
      <c r="BW58" s="1138">
        <v>0</v>
      </c>
      <c r="BX58" s="1138">
        <v>0</v>
      </c>
      <c r="BY58" s="1138">
        <v>0</v>
      </c>
      <c r="BZ58" s="1138">
        <v>0</v>
      </c>
      <c r="CA58" s="1138">
        <v>0</v>
      </c>
      <c r="CB58" s="1138">
        <v>0</v>
      </c>
    </row>
    <row r="59" spans="1:80" x14ac:dyDescent="0.3">
      <c r="A59" s="269">
        <v>99</v>
      </c>
      <c r="B59" s="1002">
        <v>99</v>
      </c>
      <c r="C59" s="269" t="s">
        <v>238</v>
      </c>
      <c r="D59" s="269" t="s">
        <v>363</v>
      </c>
      <c r="E59" s="1138">
        <v>0</v>
      </c>
      <c r="F59" s="1138">
        <v>0</v>
      </c>
      <c r="G59" s="1138">
        <v>0</v>
      </c>
      <c r="H59" s="1138">
        <v>0</v>
      </c>
      <c r="I59" s="1138">
        <v>0</v>
      </c>
      <c r="J59" s="1138">
        <v>0</v>
      </c>
      <c r="K59" s="1138">
        <v>0</v>
      </c>
      <c r="L59" s="1138">
        <v>0</v>
      </c>
      <c r="M59" s="1138">
        <v>0</v>
      </c>
      <c r="N59" s="1138">
        <v>0</v>
      </c>
      <c r="O59" s="1138">
        <v>0</v>
      </c>
      <c r="P59" s="1138">
        <v>0</v>
      </c>
      <c r="Q59" s="1138">
        <v>0</v>
      </c>
      <c r="R59" s="1138">
        <v>0</v>
      </c>
      <c r="S59" s="1138">
        <v>0</v>
      </c>
      <c r="T59" s="1138">
        <v>6272387</v>
      </c>
      <c r="U59" s="1138">
        <v>0</v>
      </c>
      <c r="V59" s="1138">
        <v>38695263</v>
      </c>
      <c r="W59" s="1138">
        <v>0</v>
      </c>
      <c r="X59" s="1138">
        <v>0</v>
      </c>
      <c r="Y59" s="1138">
        <v>0</v>
      </c>
      <c r="Z59" s="1138">
        <v>0</v>
      </c>
      <c r="AA59" s="1138">
        <v>2419673</v>
      </c>
      <c r="AB59" s="1138">
        <v>244360</v>
      </c>
      <c r="AC59" s="1138">
        <v>0</v>
      </c>
      <c r="AD59" s="1138">
        <v>0</v>
      </c>
      <c r="AE59" s="1138">
        <v>0</v>
      </c>
      <c r="AF59" s="1138">
        <v>3840591</v>
      </c>
      <c r="AG59" s="1138">
        <v>0</v>
      </c>
      <c r="AH59" s="1138">
        <v>0</v>
      </c>
      <c r="AI59" s="1138">
        <v>0</v>
      </c>
      <c r="AJ59" s="1138">
        <v>0</v>
      </c>
      <c r="AK59" s="1138">
        <v>11122894</v>
      </c>
      <c r="AL59" s="1138">
        <v>0</v>
      </c>
      <c r="AM59" s="1138">
        <v>0</v>
      </c>
      <c r="AN59" s="1138">
        <v>0</v>
      </c>
      <c r="AO59" s="1138">
        <v>0</v>
      </c>
      <c r="AP59" s="1138">
        <v>0</v>
      </c>
      <c r="AQ59" s="1138">
        <v>0</v>
      </c>
      <c r="AR59" s="1138">
        <v>35236370</v>
      </c>
      <c r="AS59" s="1138">
        <v>0</v>
      </c>
      <c r="AT59" s="1138">
        <v>0</v>
      </c>
      <c r="AU59" s="1138">
        <v>0</v>
      </c>
      <c r="AV59" s="1138">
        <v>5288257</v>
      </c>
      <c r="AW59" s="1138">
        <v>0</v>
      </c>
      <c r="AX59" s="1138">
        <v>0</v>
      </c>
      <c r="AY59" s="1138">
        <v>0</v>
      </c>
      <c r="AZ59" s="1138">
        <v>0</v>
      </c>
      <c r="BA59" s="1138">
        <v>4318155</v>
      </c>
      <c r="BB59" s="1138">
        <v>0</v>
      </c>
      <c r="BC59" s="1138">
        <v>0</v>
      </c>
      <c r="BD59" s="1138">
        <v>0</v>
      </c>
      <c r="BE59" s="1138">
        <v>0</v>
      </c>
      <c r="BF59" s="1138">
        <v>0</v>
      </c>
      <c r="BG59" s="1138">
        <v>292074</v>
      </c>
      <c r="BH59" s="1138">
        <v>0</v>
      </c>
      <c r="BI59" s="1138">
        <v>0</v>
      </c>
      <c r="BJ59" s="1138">
        <v>0</v>
      </c>
      <c r="BK59" s="1138">
        <v>0</v>
      </c>
      <c r="BL59" s="1138">
        <v>5918572</v>
      </c>
      <c r="BM59" s="1138">
        <v>0</v>
      </c>
      <c r="BN59" s="1138">
        <v>0</v>
      </c>
      <c r="BO59" s="1138">
        <v>0</v>
      </c>
      <c r="BP59" s="1138">
        <v>0</v>
      </c>
      <c r="BQ59" s="1138">
        <v>0</v>
      </c>
      <c r="BR59" s="1138">
        <v>0</v>
      </c>
      <c r="BS59" s="1138">
        <v>0</v>
      </c>
      <c r="BT59" s="1138">
        <v>0</v>
      </c>
      <c r="BU59" s="1138">
        <v>0</v>
      </c>
      <c r="BV59" s="1138">
        <v>0</v>
      </c>
      <c r="BW59" s="1138">
        <v>0</v>
      </c>
      <c r="BX59" s="1138">
        <v>0</v>
      </c>
      <c r="BY59" s="1138">
        <v>0</v>
      </c>
      <c r="BZ59" s="1138">
        <v>0</v>
      </c>
      <c r="CA59" s="1138">
        <v>0</v>
      </c>
      <c r="CB59" s="1138">
        <v>0</v>
      </c>
    </row>
    <row r="60" spans="1:80" x14ac:dyDescent="0.3">
      <c r="A60" s="269">
        <v>100</v>
      </c>
      <c r="B60" s="1002">
        <v>100</v>
      </c>
      <c r="C60" s="269" t="s">
        <v>251</v>
      </c>
      <c r="D60" s="269" t="s">
        <v>364</v>
      </c>
      <c r="E60" s="1138">
        <v>0</v>
      </c>
      <c r="F60" s="1138">
        <v>0</v>
      </c>
      <c r="G60" s="1138">
        <v>0</v>
      </c>
      <c r="H60" s="1138">
        <v>0</v>
      </c>
      <c r="I60" s="1138">
        <v>0</v>
      </c>
      <c r="J60" s="1138">
        <v>0</v>
      </c>
      <c r="K60" s="1138">
        <v>0</v>
      </c>
      <c r="L60" s="1138">
        <v>0</v>
      </c>
      <c r="M60" s="1138">
        <v>0</v>
      </c>
      <c r="N60" s="1138">
        <v>0</v>
      </c>
      <c r="O60" s="1138">
        <v>0</v>
      </c>
      <c r="P60" s="1138">
        <v>0</v>
      </c>
      <c r="Q60" s="1138">
        <v>0</v>
      </c>
      <c r="R60" s="1138">
        <v>0</v>
      </c>
      <c r="S60" s="1138">
        <v>0</v>
      </c>
      <c r="T60" s="1138">
        <v>201831</v>
      </c>
      <c r="U60" s="1138">
        <v>0</v>
      </c>
      <c r="V60" s="1138">
        <v>773073</v>
      </c>
      <c r="W60" s="1138">
        <v>0</v>
      </c>
      <c r="X60" s="1138">
        <v>0</v>
      </c>
      <c r="Y60" s="1138">
        <v>0</v>
      </c>
      <c r="Z60" s="1138">
        <v>0</v>
      </c>
      <c r="AA60" s="1138">
        <v>80997</v>
      </c>
      <c r="AB60" s="1138">
        <v>0</v>
      </c>
      <c r="AC60" s="1138">
        <v>0</v>
      </c>
      <c r="AD60" s="1138">
        <v>0</v>
      </c>
      <c r="AE60" s="1138">
        <v>0</v>
      </c>
      <c r="AF60" s="1138">
        <v>70000</v>
      </c>
      <c r="AG60" s="1138">
        <v>0</v>
      </c>
      <c r="AH60" s="1138">
        <v>0</v>
      </c>
      <c r="AI60" s="1138">
        <v>0</v>
      </c>
      <c r="AJ60" s="1138">
        <v>0</v>
      </c>
      <c r="AK60" s="1138">
        <v>159945</v>
      </c>
      <c r="AL60" s="1138">
        <v>0</v>
      </c>
      <c r="AM60" s="1138">
        <v>0</v>
      </c>
      <c r="AN60" s="1138">
        <v>0</v>
      </c>
      <c r="AO60" s="1138">
        <v>0</v>
      </c>
      <c r="AP60" s="1138">
        <v>0</v>
      </c>
      <c r="AQ60" s="1138">
        <v>0</v>
      </c>
      <c r="AR60" s="1138">
        <v>783164</v>
      </c>
      <c r="AS60" s="1138">
        <v>0</v>
      </c>
      <c r="AT60" s="1138">
        <v>0</v>
      </c>
      <c r="AU60" s="1138">
        <v>0</v>
      </c>
      <c r="AV60" s="1138">
        <v>0</v>
      </c>
      <c r="AW60" s="1138">
        <v>0</v>
      </c>
      <c r="AX60" s="1138">
        <v>0</v>
      </c>
      <c r="AY60" s="1138">
        <v>0</v>
      </c>
      <c r="AZ60" s="1138">
        <v>0</v>
      </c>
      <c r="BA60" s="1138">
        <v>107593</v>
      </c>
      <c r="BB60" s="1138">
        <v>0</v>
      </c>
      <c r="BC60" s="1138">
        <v>0</v>
      </c>
      <c r="BD60" s="1138">
        <v>0</v>
      </c>
      <c r="BE60" s="1138">
        <v>0</v>
      </c>
      <c r="BF60" s="1138">
        <v>0</v>
      </c>
      <c r="BG60" s="1138">
        <v>0</v>
      </c>
      <c r="BH60" s="1138">
        <v>0</v>
      </c>
      <c r="BI60" s="1138">
        <v>0</v>
      </c>
      <c r="BJ60" s="1138">
        <v>0</v>
      </c>
      <c r="BK60" s="1138">
        <v>0</v>
      </c>
      <c r="BL60" s="1138">
        <v>0</v>
      </c>
      <c r="BM60" s="1138">
        <v>0</v>
      </c>
      <c r="BN60" s="1138">
        <v>0</v>
      </c>
      <c r="BO60" s="1138">
        <v>0</v>
      </c>
      <c r="BP60" s="1138">
        <v>0</v>
      </c>
      <c r="BQ60" s="1138">
        <v>0</v>
      </c>
      <c r="BR60" s="1138">
        <v>0</v>
      </c>
      <c r="BS60" s="1138">
        <v>0</v>
      </c>
      <c r="BT60" s="1138">
        <v>0</v>
      </c>
      <c r="BU60" s="1138">
        <v>0</v>
      </c>
      <c r="BV60" s="1138">
        <v>0</v>
      </c>
      <c r="BW60" s="1138">
        <v>0</v>
      </c>
      <c r="BX60" s="1138">
        <v>0</v>
      </c>
      <c r="BY60" s="1138">
        <v>0</v>
      </c>
      <c r="BZ60" s="1138">
        <v>0</v>
      </c>
      <c r="CA60" s="1138">
        <v>0</v>
      </c>
      <c r="CB60" s="1138">
        <v>0</v>
      </c>
    </row>
    <row r="61" spans="1:80" x14ac:dyDescent="0.3">
      <c r="A61" s="269">
        <v>101</v>
      </c>
      <c r="B61" s="1002">
        <v>101</v>
      </c>
      <c r="C61" s="269" t="s">
        <v>250</v>
      </c>
      <c r="D61" s="269" t="s">
        <v>365</v>
      </c>
      <c r="E61" s="1138">
        <v>0</v>
      </c>
      <c r="F61" s="1138">
        <v>0</v>
      </c>
      <c r="G61" s="1138">
        <v>0</v>
      </c>
      <c r="H61" s="1138">
        <v>0</v>
      </c>
      <c r="I61" s="1138">
        <v>0</v>
      </c>
      <c r="J61" s="1138">
        <v>0</v>
      </c>
      <c r="K61" s="1138">
        <v>0</v>
      </c>
      <c r="L61" s="1138">
        <v>0</v>
      </c>
      <c r="M61" s="1138">
        <v>0</v>
      </c>
      <c r="N61" s="1138">
        <v>0</v>
      </c>
      <c r="O61" s="1138">
        <v>0</v>
      </c>
      <c r="P61" s="1138">
        <v>0</v>
      </c>
      <c r="Q61" s="1138">
        <v>0</v>
      </c>
      <c r="R61" s="1138">
        <v>0</v>
      </c>
      <c r="S61" s="1138">
        <v>0</v>
      </c>
      <c r="T61" s="1138">
        <v>315816</v>
      </c>
      <c r="U61" s="1138">
        <v>0</v>
      </c>
      <c r="V61" s="1138">
        <v>5042879</v>
      </c>
      <c r="W61" s="1138">
        <v>0</v>
      </c>
      <c r="X61" s="1138">
        <v>0</v>
      </c>
      <c r="Y61" s="1138">
        <v>0</v>
      </c>
      <c r="Z61" s="1138">
        <v>0</v>
      </c>
      <c r="AA61" s="1138">
        <v>0</v>
      </c>
      <c r="AB61" s="1138">
        <v>491296</v>
      </c>
      <c r="AC61" s="1138">
        <v>0</v>
      </c>
      <c r="AD61" s="1138">
        <v>0</v>
      </c>
      <c r="AE61" s="1138">
        <v>0</v>
      </c>
      <c r="AF61" s="1138">
        <v>56200</v>
      </c>
      <c r="AG61" s="1138">
        <v>0</v>
      </c>
      <c r="AH61" s="1138">
        <v>0</v>
      </c>
      <c r="AI61" s="1138">
        <v>0</v>
      </c>
      <c r="AJ61" s="1138">
        <v>0</v>
      </c>
      <c r="AK61" s="1138">
        <v>666114</v>
      </c>
      <c r="AL61" s="1138">
        <v>0</v>
      </c>
      <c r="AM61" s="1138">
        <v>0</v>
      </c>
      <c r="AN61" s="1138">
        <v>0</v>
      </c>
      <c r="AO61" s="1138">
        <v>0</v>
      </c>
      <c r="AP61" s="1138">
        <v>0</v>
      </c>
      <c r="AQ61" s="1138">
        <v>0</v>
      </c>
      <c r="AR61" s="1138">
        <v>558136</v>
      </c>
      <c r="AS61" s="1138">
        <v>0</v>
      </c>
      <c r="AT61" s="1138">
        <v>0</v>
      </c>
      <c r="AU61" s="1138">
        <v>0</v>
      </c>
      <c r="AV61" s="1138">
        <v>547345</v>
      </c>
      <c r="AW61" s="1138">
        <v>0</v>
      </c>
      <c r="AX61" s="1138">
        <v>0</v>
      </c>
      <c r="AY61" s="1138">
        <v>0</v>
      </c>
      <c r="AZ61" s="1138">
        <v>0</v>
      </c>
      <c r="BA61" s="1138">
        <v>431312</v>
      </c>
      <c r="BB61" s="1138">
        <v>0</v>
      </c>
      <c r="BC61" s="1138">
        <v>0</v>
      </c>
      <c r="BD61" s="1138">
        <v>0</v>
      </c>
      <c r="BE61" s="1138">
        <v>0</v>
      </c>
      <c r="BF61" s="1138">
        <v>0</v>
      </c>
      <c r="BG61" s="1138">
        <v>0</v>
      </c>
      <c r="BH61" s="1138">
        <v>0</v>
      </c>
      <c r="BI61" s="1138">
        <v>0</v>
      </c>
      <c r="BJ61" s="1138">
        <v>0</v>
      </c>
      <c r="BK61" s="1138">
        <v>0</v>
      </c>
      <c r="BL61" s="1138">
        <v>271684</v>
      </c>
      <c r="BM61" s="1138">
        <v>0</v>
      </c>
      <c r="BN61" s="1138">
        <v>0</v>
      </c>
      <c r="BO61" s="1138">
        <v>0</v>
      </c>
      <c r="BP61" s="1138">
        <v>0</v>
      </c>
      <c r="BQ61" s="1138">
        <v>0</v>
      </c>
      <c r="BR61" s="1138">
        <v>0</v>
      </c>
      <c r="BS61" s="1138">
        <v>0</v>
      </c>
      <c r="BT61" s="1138">
        <v>0</v>
      </c>
      <c r="BU61" s="1138">
        <v>0</v>
      </c>
      <c r="BV61" s="1138">
        <v>0</v>
      </c>
      <c r="BW61" s="1138">
        <v>0</v>
      </c>
      <c r="BX61" s="1138">
        <v>0</v>
      </c>
      <c r="BY61" s="1138">
        <v>0</v>
      </c>
      <c r="BZ61" s="1138">
        <v>0</v>
      </c>
      <c r="CA61" s="1138">
        <v>0</v>
      </c>
      <c r="CB61" s="1138">
        <v>0</v>
      </c>
    </row>
    <row r="62" spans="1:80" x14ac:dyDescent="0.3">
      <c r="A62" s="269">
        <v>102</v>
      </c>
      <c r="B62" s="1002">
        <v>102</v>
      </c>
      <c r="C62" s="269" t="s">
        <v>269</v>
      </c>
      <c r="D62" s="269" t="s">
        <v>366</v>
      </c>
      <c r="E62" s="1139">
        <v>99.53</v>
      </c>
      <c r="F62" s="1139">
        <v>99.72</v>
      </c>
      <c r="G62" s="1139">
        <v>0</v>
      </c>
      <c r="H62" s="1139">
        <v>99.28</v>
      </c>
      <c r="I62" s="1139">
        <v>99.54</v>
      </c>
      <c r="J62" s="1139">
        <v>90.41</v>
      </c>
      <c r="K62" s="1139">
        <v>94.74</v>
      </c>
      <c r="L62" s="1139">
        <v>96.29</v>
      </c>
      <c r="M62" s="1139">
        <v>98.14</v>
      </c>
      <c r="N62" s="1139">
        <v>92.69</v>
      </c>
      <c r="O62" s="1139">
        <v>96.81</v>
      </c>
      <c r="P62" s="1139">
        <v>99.5</v>
      </c>
      <c r="Q62" s="1139">
        <v>99.29</v>
      </c>
      <c r="R62" s="1139">
        <v>99.58</v>
      </c>
      <c r="S62" s="1139">
        <v>98.42</v>
      </c>
      <c r="T62" s="1139">
        <v>99.33</v>
      </c>
      <c r="U62" s="1139">
        <v>0</v>
      </c>
      <c r="V62" s="1139">
        <v>97.15</v>
      </c>
      <c r="W62" s="1139">
        <v>92.61</v>
      </c>
      <c r="X62" s="1139">
        <v>99.32</v>
      </c>
      <c r="Y62" s="1139">
        <v>99.77</v>
      </c>
      <c r="Z62" s="1139">
        <v>99.79</v>
      </c>
      <c r="AA62" s="1139">
        <v>95.02</v>
      </c>
      <c r="AB62" s="1139">
        <v>98.75</v>
      </c>
      <c r="AC62" s="1139">
        <v>99.09</v>
      </c>
      <c r="AD62" s="1139">
        <v>99.42</v>
      </c>
      <c r="AE62" s="1139">
        <v>98.97</v>
      </c>
      <c r="AF62" s="1139">
        <v>95.46</v>
      </c>
      <c r="AG62" s="1139">
        <v>90.12</v>
      </c>
      <c r="AH62" s="1139">
        <v>98.45</v>
      </c>
      <c r="AI62" s="1139">
        <v>98.2</v>
      </c>
      <c r="AJ62" s="1139">
        <v>99.59</v>
      </c>
      <c r="AK62" s="1139">
        <v>93.87</v>
      </c>
      <c r="AL62" s="1139">
        <v>95.74</v>
      </c>
      <c r="AM62" s="1139">
        <v>96.25</v>
      </c>
      <c r="AN62" s="1139">
        <v>99.33</v>
      </c>
      <c r="AO62" s="1139">
        <v>95.36</v>
      </c>
      <c r="AP62" s="1139">
        <v>94.06</v>
      </c>
      <c r="AQ62" s="1139">
        <v>99.65</v>
      </c>
      <c r="AR62" s="1139">
        <v>96.59</v>
      </c>
      <c r="AS62" s="1139">
        <v>98.51</v>
      </c>
      <c r="AT62" s="1139">
        <v>93.2</v>
      </c>
      <c r="AU62" s="1139">
        <v>99.8</v>
      </c>
      <c r="AV62" s="1139">
        <v>98.21</v>
      </c>
      <c r="AW62" s="1139">
        <v>96.26</v>
      </c>
      <c r="AX62" s="1139">
        <v>96.96</v>
      </c>
      <c r="AY62" s="1139">
        <v>98.13</v>
      </c>
      <c r="AZ62" s="1139">
        <v>96.92</v>
      </c>
      <c r="BA62" s="1139">
        <v>98.51</v>
      </c>
      <c r="BB62" s="1139">
        <v>91.69</v>
      </c>
      <c r="BC62" s="1139">
        <v>0</v>
      </c>
      <c r="BD62" s="1139">
        <v>0</v>
      </c>
      <c r="BE62" s="1139">
        <v>96.15</v>
      </c>
      <c r="BF62" s="1139">
        <v>0</v>
      </c>
      <c r="BG62" s="1139">
        <v>87.22</v>
      </c>
      <c r="BH62" s="1139">
        <v>94.94</v>
      </c>
      <c r="BI62" s="1139">
        <v>99.38</v>
      </c>
      <c r="BJ62" s="1139">
        <v>96.34</v>
      </c>
      <c r="BK62" s="1139">
        <v>0</v>
      </c>
      <c r="BL62" s="1139">
        <v>99.69</v>
      </c>
      <c r="BM62" s="1139">
        <v>99.44</v>
      </c>
      <c r="BN62" s="1139">
        <v>0</v>
      </c>
      <c r="BO62" s="1139">
        <v>99.01</v>
      </c>
      <c r="BP62" s="1139">
        <v>97.05</v>
      </c>
      <c r="BQ62" s="1139">
        <v>96.7</v>
      </c>
      <c r="BR62" s="1139">
        <v>98.18</v>
      </c>
      <c r="BS62" s="1139">
        <v>99.8</v>
      </c>
      <c r="BT62" s="1139">
        <v>99.6</v>
      </c>
      <c r="BU62" s="1139">
        <v>84.6</v>
      </c>
      <c r="BV62" s="1139">
        <v>99.17</v>
      </c>
      <c r="BW62" s="1139">
        <v>95.06</v>
      </c>
      <c r="BX62" s="1139">
        <v>99.74</v>
      </c>
      <c r="BY62" s="1139">
        <v>91.3</v>
      </c>
      <c r="BZ62" s="1139">
        <v>96.05</v>
      </c>
      <c r="CA62" s="1139">
        <v>99.49</v>
      </c>
      <c r="CB62" s="1139">
        <v>87.68</v>
      </c>
    </row>
    <row r="63" spans="1:80" x14ac:dyDescent="0.3">
      <c r="A63" s="269">
        <v>103</v>
      </c>
      <c r="B63" s="1002">
        <v>103</v>
      </c>
      <c r="C63" s="269" t="s">
        <v>270</v>
      </c>
      <c r="D63" s="269" t="s">
        <v>367</v>
      </c>
      <c r="E63" s="1139">
        <v>100</v>
      </c>
      <c r="F63" s="1139">
        <v>100</v>
      </c>
      <c r="G63" s="1139">
        <v>0</v>
      </c>
      <c r="H63" s="1139">
        <v>100</v>
      </c>
      <c r="I63" s="1139">
        <v>100</v>
      </c>
      <c r="J63" s="1139">
        <v>99.1</v>
      </c>
      <c r="K63" s="1139">
        <v>100</v>
      </c>
      <c r="L63" s="1139">
        <v>100</v>
      </c>
      <c r="M63" s="1139">
        <v>100</v>
      </c>
      <c r="N63" s="1139">
        <v>100</v>
      </c>
      <c r="O63" s="1139">
        <v>100</v>
      </c>
      <c r="P63" s="1139">
        <v>100</v>
      </c>
      <c r="Q63" s="1139">
        <v>100</v>
      </c>
      <c r="R63" s="1139">
        <v>100</v>
      </c>
      <c r="S63" s="1139">
        <v>99.65</v>
      </c>
      <c r="T63" s="1139">
        <v>100</v>
      </c>
      <c r="U63" s="1139">
        <v>0</v>
      </c>
      <c r="V63" s="1139">
        <v>100</v>
      </c>
      <c r="W63" s="1139">
        <v>100</v>
      </c>
      <c r="X63" s="1139">
        <v>100</v>
      </c>
      <c r="Y63" s="1139">
        <v>99.33</v>
      </c>
      <c r="Z63" s="1139">
        <v>100</v>
      </c>
      <c r="AA63" s="1139">
        <v>100</v>
      </c>
      <c r="AB63" s="1139">
        <v>100</v>
      </c>
      <c r="AC63" s="1139">
        <v>100</v>
      </c>
      <c r="AD63" s="1139">
        <v>100</v>
      </c>
      <c r="AE63" s="1139">
        <v>100</v>
      </c>
      <c r="AF63" s="1139">
        <v>100</v>
      </c>
      <c r="AG63" s="1139">
        <v>100</v>
      </c>
      <c r="AH63" s="1139">
        <v>100</v>
      </c>
      <c r="AI63" s="1139">
        <v>100</v>
      </c>
      <c r="AJ63" s="1139">
        <v>99.48</v>
      </c>
      <c r="AK63" s="1139">
        <v>100</v>
      </c>
      <c r="AL63" s="1139">
        <v>100</v>
      </c>
      <c r="AM63" s="1139">
        <v>100</v>
      </c>
      <c r="AN63" s="1139">
        <v>100</v>
      </c>
      <c r="AO63" s="1139">
        <v>100</v>
      </c>
      <c r="AP63" s="1139">
        <v>100</v>
      </c>
      <c r="AQ63" s="1139">
        <v>100</v>
      </c>
      <c r="AR63" s="1139">
        <v>100</v>
      </c>
      <c r="AS63" s="1139">
        <v>99.83</v>
      </c>
      <c r="AT63" s="1139">
        <v>100</v>
      </c>
      <c r="AU63" s="1139">
        <v>100</v>
      </c>
      <c r="AV63" s="1139">
        <v>100</v>
      </c>
      <c r="AW63" s="1139">
        <v>100</v>
      </c>
      <c r="AX63" s="1139">
        <v>100</v>
      </c>
      <c r="AY63" s="1139">
        <v>100</v>
      </c>
      <c r="AZ63" s="1139">
        <v>100</v>
      </c>
      <c r="BA63" s="1139">
        <v>100</v>
      </c>
      <c r="BB63" s="1139">
        <v>100</v>
      </c>
      <c r="BC63" s="1139">
        <v>0</v>
      </c>
      <c r="BD63" s="1139">
        <v>0</v>
      </c>
      <c r="BE63" s="1139">
        <v>100</v>
      </c>
      <c r="BF63" s="1139">
        <v>0</v>
      </c>
      <c r="BG63" s="1139">
        <v>100</v>
      </c>
      <c r="BH63" s="1139">
        <v>99.64</v>
      </c>
      <c r="BI63" s="1139">
        <v>100</v>
      </c>
      <c r="BJ63" s="1139">
        <v>99.2</v>
      </c>
      <c r="BK63" s="1139">
        <v>0</v>
      </c>
      <c r="BL63" s="1139">
        <v>100</v>
      </c>
      <c r="BM63" s="1139">
        <v>100</v>
      </c>
      <c r="BN63" s="1139">
        <v>0</v>
      </c>
      <c r="BO63" s="1139">
        <v>100</v>
      </c>
      <c r="BP63" s="1139">
        <v>100</v>
      </c>
      <c r="BQ63" s="1139">
        <v>100</v>
      </c>
      <c r="BR63" s="1139">
        <v>100</v>
      </c>
      <c r="BS63" s="1139">
        <v>100</v>
      </c>
      <c r="BT63" s="1139">
        <v>100</v>
      </c>
      <c r="BU63" s="1139">
        <v>98.7</v>
      </c>
      <c r="BV63" s="1139">
        <v>100</v>
      </c>
      <c r="BW63" s="1139">
        <v>96.13</v>
      </c>
      <c r="BX63" s="1139">
        <v>100</v>
      </c>
      <c r="BY63" s="1139">
        <v>100</v>
      </c>
      <c r="BZ63" s="1139">
        <v>100</v>
      </c>
      <c r="CA63" s="1139">
        <v>98.99</v>
      </c>
      <c r="CB63" s="1139">
        <v>100</v>
      </c>
    </row>
    <row r="64" spans="1:80" x14ac:dyDescent="0.3">
      <c r="B64" s="1002">
        <v>104</v>
      </c>
      <c r="C64" s="269" t="s">
        <v>368</v>
      </c>
      <c r="D64" s="269" t="s">
        <v>369</v>
      </c>
      <c r="E64" s="1138"/>
      <c r="F64" s="1138"/>
      <c r="G64" s="1138"/>
      <c r="H64" s="1138"/>
      <c r="I64" s="1138"/>
      <c r="J64" s="1138"/>
      <c r="K64" s="1138"/>
      <c r="L64" s="1138"/>
      <c r="M64" s="1138"/>
      <c r="N64" s="1138"/>
      <c r="O64" s="1138"/>
      <c r="P64" s="1138"/>
      <c r="Q64" s="1138"/>
      <c r="R64" s="1138"/>
      <c r="S64" s="1138"/>
      <c r="T64" s="1138"/>
      <c r="U64" s="1138"/>
      <c r="V64" s="1138"/>
      <c r="W64" s="1138"/>
      <c r="X64" s="1138"/>
      <c r="Y64" s="1138"/>
      <c r="Z64" s="1138"/>
      <c r="AA64" s="1138"/>
      <c r="AB64" s="1138"/>
      <c r="AC64" s="1138"/>
      <c r="AD64" s="1138"/>
      <c r="AE64" s="1138"/>
      <c r="AF64" s="1138"/>
      <c r="AG64" s="1138"/>
      <c r="AH64" s="1138"/>
      <c r="AI64" s="1138"/>
      <c r="AJ64" s="1138"/>
      <c r="AK64" s="1138"/>
      <c r="AL64" s="1138"/>
      <c r="AM64" s="1138"/>
      <c r="AN64" s="1138"/>
      <c r="AO64" s="1138"/>
      <c r="AP64" s="1138"/>
      <c r="AQ64" s="1138"/>
      <c r="AR64" s="1138"/>
      <c r="AS64" s="1138"/>
      <c r="AT64" s="1138"/>
      <c r="AU64" s="1138"/>
      <c r="AV64" s="1138"/>
      <c r="AW64" s="1138"/>
      <c r="AX64" s="1138"/>
      <c r="AY64" s="1138"/>
      <c r="AZ64" s="1138"/>
      <c r="BA64" s="1138"/>
      <c r="BB64" s="1138"/>
      <c r="BC64" s="1138"/>
      <c r="BD64" s="1138"/>
      <c r="BE64" s="1138"/>
      <c r="BF64" s="1138"/>
      <c r="BG64" s="1138"/>
      <c r="BH64" s="1138"/>
      <c r="BI64" s="1138"/>
      <c r="BJ64" s="1138"/>
      <c r="BK64" s="1138"/>
      <c r="BL64" s="1138"/>
      <c r="BM64" s="1138"/>
      <c r="BN64" s="1138"/>
      <c r="BO64" s="1138"/>
      <c r="BP64" s="1138"/>
      <c r="BQ64" s="1138"/>
      <c r="BR64" s="1138"/>
      <c r="BS64" s="1138"/>
      <c r="BT64" s="1138"/>
      <c r="BU64" s="1138"/>
      <c r="BV64" s="1138"/>
      <c r="BW64" s="1138"/>
      <c r="BX64" s="1138"/>
      <c r="BY64" s="1138"/>
      <c r="BZ64" s="1138"/>
      <c r="CA64" s="1138"/>
      <c r="CB64" s="1138"/>
    </row>
    <row r="65" spans="1:80" x14ac:dyDescent="0.3">
      <c r="B65" s="1002">
        <v>107</v>
      </c>
      <c r="C65" s="269" t="s">
        <v>633</v>
      </c>
      <c r="D65" s="269" t="s">
        <v>370</v>
      </c>
      <c r="E65" s="1138"/>
      <c r="F65" s="1138"/>
      <c r="G65" s="1138"/>
      <c r="H65" s="1138"/>
      <c r="I65" s="1138"/>
      <c r="J65" s="1138"/>
      <c r="K65" s="1138"/>
      <c r="L65" s="1138"/>
      <c r="M65" s="1138"/>
      <c r="N65" s="1138"/>
      <c r="O65" s="1138"/>
      <c r="P65" s="1138"/>
      <c r="Q65" s="1138"/>
      <c r="R65" s="1138"/>
      <c r="S65" s="1138"/>
      <c r="T65" s="1138"/>
      <c r="U65" s="1138"/>
      <c r="V65" s="1138"/>
      <c r="W65" s="1138"/>
      <c r="X65" s="1138"/>
      <c r="Y65" s="1138"/>
      <c r="Z65" s="1138"/>
      <c r="AA65" s="1138"/>
      <c r="AB65" s="1138"/>
      <c r="AC65" s="1138"/>
      <c r="AD65" s="1138"/>
      <c r="AE65" s="1138"/>
      <c r="AF65" s="1138"/>
      <c r="AG65" s="1138"/>
      <c r="AH65" s="1138"/>
      <c r="AI65" s="1138"/>
      <c r="AJ65" s="1138"/>
      <c r="AK65" s="1138"/>
      <c r="AL65" s="1138"/>
      <c r="AM65" s="1138"/>
      <c r="AN65" s="1138"/>
      <c r="AO65" s="1138"/>
      <c r="AP65" s="1138"/>
      <c r="AQ65" s="1138"/>
      <c r="AR65" s="1138"/>
      <c r="AS65" s="1138"/>
      <c r="AT65" s="1138"/>
      <c r="AU65" s="1138"/>
      <c r="AV65" s="1138"/>
      <c r="AW65" s="1138"/>
      <c r="AX65" s="1138"/>
      <c r="AY65" s="1138"/>
      <c r="AZ65" s="1138"/>
      <c r="BA65" s="1138"/>
      <c r="BB65" s="1138"/>
      <c r="BC65" s="1138"/>
      <c r="BD65" s="1138"/>
      <c r="BE65" s="1138"/>
      <c r="BF65" s="1138"/>
      <c r="BG65" s="1138"/>
      <c r="BH65" s="1138"/>
      <c r="BI65" s="1138"/>
      <c r="BJ65" s="1138"/>
      <c r="BK65" s="1138"/>
      <c r="BL65" s="1138"/>
      <c r="BM65" s="1138"/>
      <c r="BN65" s="1138"/>
      <c r="BO65" s="1138"/>
      <c r="BP65" s="1138"/>
      <c r="BQ65" s="1138"/>
      <c r="BR65" s="1138"/>
      <c r="BS65" s="1138"/>
      <c r="BT65" s="1138"/>
      <c r="BU65" s="1138"/>
      <c r="BV65" s="1138"/>
      <c r="BW65" s="1138"/>
      <c r="BX65" s="1138"/>
      <c r="BY65" s="1138"/>
      <c r="BZ65" s="1138"/>
      <c r="CA65" s="1138"/>
      <c r="CB65" s="1138"/>
    </row>
    <row r="66" spans="1:80" x14ac:dyDescent="0.3">
      <c r="B66" s="1002">
        <v>108</v>
      </c>
      <c r="C66" s="269" t="s">
        <v>634</v>
      </c>
      <c r="D66" s="269" t="s">
        <v>371</v>
      </c>
      <c r="E66" s="1138"/>
      <c r="F66" s="1138"/>
      <c r="G66" s="1138"/>
      <c r="H66" s="1138"/>
      <c r="I66" s="1138"/>
      <c r="J66" s="1138"/>
      <c r="K66" s="1138"/>
      <c r="L66" s="1138"/>
      <c r="M66" s="1138"/>
      <c r="N66" s="1138"/>
      <c r="O66" s="1138"/>
      <c r="P66" s="1138"/>
      <c r="Q66" s="1138"/>
      <c r="R66" s="1138"/>
      <c r="S66" s="1138"/>
      <c r="T66" s="1138"/>
      <c r="U66" s="1138"/>
      <c r="V66" s="1138"/>
      <c r="W66" s="1138"/>
      <c r="X66" s="1138"/>
      <c r="Y66" s="1138"/>
      <c r="Z66" s="1138"/>
      <c r="AA66" s="1138"/>
      <c r="AB66" s="1138"/>
      <c r="AC66" s="1138"/>
      <c r="AD66" s="1138"/>
      <c r="AE66" s="1138"/>
      <c r="AF66" s="1138"/>
      <c r="AG66" s="1138"/>
      <c r="AH66" s="1138"/>
      <c r="AI66" s="1138"/>
      <c r="AJ66" s="1138"/>
      <c r="AK66" s="1138"/>
      <c r="AL66" s="1138"/>
      <c r="AM66" s="1138"/>
      <c r="AN66" s="1138"/>
      <c r="AO66" s="1138"/>
      <c r="AP66" s="1138"/>
      <c r="AQ66" s="1138"/>
      <c r="AR66" s="1138"/>
      <c r="AS66" s="1138"/>
      <c r="AT66" s="1138"/>
      <c r="AU66" s="1138"/>
      <c r="AV66" s="1138"/>
      <c r="AW66" s="1138"/>
      <c r="AX66" s="1138"/>
      <c r="AY66" s="1138"/>
      <c r="AZ66" s="1138"/>
      <c r="BA66" s="1138"/>
      <c r="BB66" s="1138"/>
      <c r="BC66" s="1138"/>
      <c r="BD66" s="1138"/>
      <c r="BE66" s="1138"/>
      <c r="BF66" s="1138"/>
      <c r="BG66" s="1138"/>
      <c r="BH66" s="1138"/>
      <c r="BI66" s="1138"/>
      <c r="BJ66" s="1138"/>
      <c r="BK66" s="1138"/>
      <c r="BL66" s="1138"/>
      <c r="BM66" s="1138"/>
      <c r="BN66" s="1138"/>
      <c r="BO66" s="1138"/>
      <c r="BP66" s="1138"/>
      <c r="BQ66" s="1138"/>
      <c r="BR66" s="1138"/>
      <c r="BS66" s="1138"/>
      <c r="BT66" s="1138"/>
      <c r="BU66" s="1138"/>
      <c r="BV66" s="1138"/>
      <c r="BW66" s="1138"/>
      <c r="BX66" s="1138"/>
      <c r="BY66" s="1138"/>
      <c r="BZ66" s="1138"/>
      <c r="CA66" s="1138"/>
      <c r="CB66" s="1138"/>
    </row>
    <row r="67" spans="1:80" x14ac:dyDescent="0.3">
      <c r="B67" s="1002">
        <v>147</v>
      </c>
      <c r="C67" s="269" t="s">
        <v>372</v>
      </c>
      <c r="D67" s="269" t="s">
        <v>373</v>
      </c>
      <c r="E67" s="1138"/>
      <c r="F67" s="1138"/>
      <c r="G67" s="1138"/>
      <c r="H67" s="1138"/>
      <c r="I67" s="1138"/>
      <c r="J67" s="1138"/>
      <c r="K67" s="1138"/>
      <c r="L67" s="1138"/>
      <c r="M67" s="1138"/>
      <c r="N67" s="1138"/>
      <c r="O67" s="1138"/>
      <c r="P67" s="1138"/>
      <c r="Q67" s="1138"/>
      <c r="R67" s="1138"/>
      <c r="S67" s="1138"/>
      <c r="T67" s="1138"/>
      <c r="U67" s="1138"/>
      <c r="V67" s="1138"/>
      <c r="W67" s="1138"/>
      <c r="X67" s="1138"/>
      <c r="Y67" s="1138"/>
      <c r="Z67" s="1138"/>
      <c r="AA67" s="1138"/>
      <c r="AB67" s="1138"/>
      <c r="AC67" s="1138"/>
      <c r="AD67" s="1138"/>
      <c r="AE67" s="1138"/>
      <c r="AF67" s="1138"/>
      <c r="AG67" s="1138"/>
      <c r="AH67" s="1138"/>
      <c r="AI67" s="1138"/>
      <c r="AJ67" s="1138"/>
      <c r="AK67" s="1138"/>
      <c r="AL67" s="1138"/>
      <c r="AM67" s="1138"/>
      <c r="AN67" s="1138"/>
      <c r="AO67" s="1138"/>
      <c r="AP67" s="1138"/>
      <c r="AQ67" s="1138"/>
      <c r="AR67" s="1138"/>
      <c r="AS67" s="1138"/>
      <c r="AT67" s="1138"/>
      <c r="AU67" s="1138"/>
      <c r="AV67" s="1138"/>
      <c r="AW67" s="1138"/>
      <c r="AX67" s="1138"/>
      <c r="AY67" s="1138"/>
      <c r="AZ67" s="1138"/>
      <c r="BA67" s="1138"/>
      <c r="BB67" s="1138"/>
      <c r="BC67" s="1138"/>
      <c r="BD67" s="1138"/>
      <c r="BE67" s="1138"/>
      <c r="BF67" s="1138"/>
      <c r="BG67" s="1138"/>
      <c r="BH67" s="1138"/>
      <c r="BI67" s="1138"/>
      <c r="BJ67" s="1138"/>
      <c r="BK67" s="1138"/>
      <c r="BL67" s="1138"/>
      <c r="BM67" s="1138"/>
      <c r="BN67" s="1138"/>
      <c r="BO67" s="1138"/>
      <c r="BP67" s="1138"/>
      <c r="BQ67" s="1138"/>
      <c r="BR67" s="1138"/>
      <c r="BS67" s="1138"/>
      <c r="BT67" s="1138"/>
      <c r="BU67" s="1138"/>
      <c r="BV67" s="1138"/>
      <c r="BW67" s="1138"/>
      <c r="BX67" s="1138"/>
      <c r="BY67" s="1138"/>
      <c r="BZ67" s="1138"/>
      <c r="CA67" s="1138"/>
      <c r="CB67" s="1138"/>
    </row>
    <row r="68" spans="1:80" x14ac:dyDescent="0.3">
      <c r="B68" s="1002">
        <v>148</v>
      </c>
      <c r="C68" s="269" t="s">
        <v>374</v>
      </c>
      <c r="D68" s="269" t="s">
        <v>375</v>
      </c>
      <c r="E68" s="1138"/>
      <c r="F68" s="1138"/>
      <c r="G68" s="1138"/>
      <c r="H68" s="1138"/>
      <c r="I68" s="1138"/>
      <c r="J68" s="1138"/>
      <c r="K68" s="1138"/>
      <c r="L68" s="1138"/>
      <c r="M68" s="1138"/>
      <c r="N68" s="1138"/>
      <c r="O68" s="1138"/>
      <c r="P68" s="1138"/>
      <c r="Q68" s="1138"/>
      <c r="R68" s="1138"/>
      <c r="S68" s="1138"/>
      <c r="T68" s="1138"/>
      <c r="U68" s="1138"/>
      <c r="V68" s="1138"/>
      <c r="W68" s="1138"/>
      <c r="X68" s="1138"/>
      <c r="Y68" s="1138"/>
      <c r="Z68" s="1138"/>
      <c r="AA68" s="1138"/>
      <c r="AB68" s="1138"/>
      <c r="AC68" s="1138"/>
      <c r="AD68" s="1138"/>
      <c r="AE68" s="1138"/>
      <c r="AF68" s="1138"/>
      <c r="AG68" s="1138"/>
      <c r="AH68" s="1138"/>
      <c r="AI68" s="1138"/>
      <c r="AJ68" s="1138"/>
      <c r="AK68" s="1138"/>
      <c r="AL68" s="1138"/>
      <c r="AM68" s="1138"/>
      <c r="AN68" s="1138"/>
      <c r="AO68" s="1138"/>
      <c r="AP68" s="1138"/>
      <c r="AQ68" s="1138"/>
      <c r="AR68" s="1138"/>
      <c r="AS68" s="1138"/>
      <c r="AT68" s="1138"/>
      <c r="AU68" s="1138"/>
      <c r="AV68" s="1138"/>
      <c r="AW68" s="1138"/>
      <c r="AX68" s="1138"/>
      <c r="AY68" s="1138"/>
      <c r="AZ68" s="1138"/>
      <c r="BA68" s="1138"/>
      <c r="BB68" s="1138"/>
      <c r="BC68" s="1138"/>
      <c r="BD68" s="1138"/>
      <c r="BE68" s="1138"/>
      <c r="BF68" s="1138"/>
      <c r="BG68" s="1138"/>
      <c r="BH68" s="1138"/>
      <c r="BI68" s="1138"/>
      <c r="BJ68" s="1138"/>
      <c r="BK68" s="1138"/>
      <c r="BL68" s="1138"/>
      <c r="BM68" s="1138"/>
      <c r="BN68" s="1138"/>
      <c r="BO68" s="1138"/>
      <c r="BP68" s="1138"/>
      <c r="BQ68" s="1138"/>
      <c r="BR68" s="1138"/>
      <c r="BS68" s="1138"/>
      <c r="BT68" s="1138"/>
      <c r="BU68" s="1138"/>
      <c r="BV68" s="1138"/>
      <c r="BW68" s="1138"/>
      <c r="BX68" s="1138"/>
      <c r="BY68" s="1138"/>
      <c r="BZ68" s="1138"/>
      <c r="CA68" s="1138"/>
      <c r="CB68" s="1138"/>
    </row>
    <row r="69" spans="1:80" x14ac:dyDescent="0.3">
      <c r="B69" s="1002">
        <v>149</v>
      </c>
      <c r="C69" s="269" t="s">
        <v>376</v>
      </c>
      <c r="D69" s="269" t="s">
        <v>377</v>
      </c>
      <c r="E69" s="1138"/>
      <c r="F69" s="1138"/>
      <c r="G69" s="1138"/>
      <c r="H69" s="1138"/>
      <c r="I69" s="1138"/>
      <c r="J69" s="1138"/>
      <c r="K69" s="1138"/>
      <c r="L69" s="1138"/>
      <c r="M69" s="1138"/>
      <c r="N69" s="1138"/>
      <c r="O69" s="1138"/>
      <c r="P69" s="1138"/>
      <c r="Q69" s="1138"/>
      <c r="R69" s="1138"/>
      <c r="S69" s="1138"/>
      <c r="T69" s="1138"/>
      <c r="U69" s="1138"/>
      <c r="V69" s="1138"/>
      <c r="W69" s="1138"/>
      <c r="X69" s="1138"/>
      <c r="Y69" s="1138"/>
      <c r="Z69" s="1138"/>
      <c r="AA69" s="1138"/>
      <c r="AB69" s="1138"/>
      <c r="AC69" s="1138"/>
      <c r="AD69" s="1138"/>
      <c r="AE69" s="1138"/>
      <c r="AF69" s="1138"/>
      <c r="AG69" s="1138"/>
      <c r="AH69" s="1138"/>
      <c r="AI69" s="1138"/>
      <c r="AJ69" s="1138"/>
      <c r="AK69" s="1138"/>
      <c r="AL69" s="1138"/>
      <c r="AM69" s="1138"/>
      <c r="AN69" s="1138"/>
      <c r="AO69" s="1138"/>
      <c r="AP69" s="1138"/>
      <c r="AQ69" s="1138"/>
      <c r="AR69" s="1138"/>
      <c r="AS69" s="1138"/>
      <c r="AT69" s="1138"/>
      <c r="AU69" s="1138"/>
      <c r="AV69" s="1138"/>
      <c r="AW69" s="1138"/>
      <c r="AX69" s="1138"/>
      <c r="AY69" s="1138"/>
      <c r="AZ69" s="1138"/>
      <c r="BA69" s="1138"/>
      <c r="BB69" s="1138"/>
      <c r="BC69" s="1138"/>
      <c r="BD69" s="1138"/>
      <c r="BE69" s="1138"/>
      <c r="BF69" s="1138"/>
      <c r="BG69" s="1138"/>
      <c r="BH69" s="1138"/>
      <c r="BI69" s="1138"/>
      <c r="BJ69" s="1138"/>
      <c r="BK69" s="1138"/>
      <c r="BL69" s="1138"/>
      <c r="BM69" s="1138"/>
      <c r="BN69" s="1138"/>
      <c r="BO69" s="1138"/>
      <c r="BP69" s="1138"/>
      <c r="BQ69" s="1138"/>
      <c r="BR69" s="1138"/>
      <c r="BS69" s="1138"/>
      <c r="BT69" s="1138"/>
      <c r="BU69" s="1138"/>
      <c r="BV69" s="1138"/>
      <c r="BW69" s="1138"/>
      <c r="BX69" s="1138"/>
      <c r="BY69" s="1138"/>
      <c r="BZ69" s="1138"/>
      <c r="CA69" s="1138"/>
      <c r="CB69" s="1138"/>
    </row>
    <row r="70" spans="1:80" x14ac:dyDescent="0.3">
      <c r="B70" s="1002">
        <v>150</v>
      </c>
      <c r="C70" s="269" t="s">
        <v>378</v>
      </c>
      <c r="D70" s="269" t="s">
        <v>379</v>
      </c>
      <c r="E70" s="1138"/>
      <c r="F70" s="1138"/>
      <c r="G70" s="1138"/>
      <c r="H70" s="1138"/>
      <c r="I70" s="1138"/>
      <c r="J70" s="1138"/>
      <c r="K70" s="1138"/>
      <c r="L70" s="1138"/>
      <c r="M70" s="1138"/>
      <c r="N70" s="1138"/>
      <c r="O70" s="1138"/>
      <c r="P70" s="1138"/>
      <c r="Q70" s="1138"/>
      <c r="R70" s="1138"/>
      <c r="S70" s="1138"/>
      <c r="T70" s="1138"/>
      <c r="U70" s="1138"/>
      <c r="V70" s="1138"/>
      <c r="W70" s="1138"/>
      <c r="X70" s="1138"/>
      <c r="Y70" s="1138"/>
      <c r="Z70" s="1138"/>
      <c r="AA70" s="1138"/>
      <c r="AB70" s="1138"/>
      <c r="AC70" s="1138"/>
      <c r="AD70" s="1138"/>
      <c r="AE70" s="1138"/>
      <c r="AF70" s="1138"/>
      <c r="AG70" s="1138"/>
      <c r="AH70" s="1138"/>
      <c r="AI70" s="1138"/>
      <c r="AJ70" s="1138"/>
      <c r="AK70" s="1138"/>
      <c r="AL70" s="1138"/>
      <c r="AM70" s="1138"/>
      <c r="AN70" s="1138"/>
      <c r="AO70" s="1138"/>
      <c r="AP70" s="1138"/>
      <c r="AQ70" s="1138"/>
      <c r="AR70" s="1138"/>
      <c r="AS70" s="1138"/>
      <c r="AT70" s="1138"/>
      <c r="AU70" s="1138"/>
      <c r="AV70" s="1138"/>
      <c r="AW70" s="1138"/>
      <c r="AX70" s="1138"/>
      <c r="AY70" s="1138"/>
      <c r="AZ70" s="1138"/>
      <c r="BA70" s="1138"/>
      <c r="BB70" s="1138"/>
      <c r="BC70" s="1138"/>
      <c r="BD70" s="1138"/>
      <c r="BE70" s="1138"/>
      <c r="BF70" s="1138"/>
      <c r="BG70" s="1138"/>
      <c r="BH70" s="1138"/>
      <c r="BI70" s="1138"/>
      <c r="BJ70" s="1138"/>
      <c r="BK70" s="1138"/>
      <c r="BL70" s="1138"/>
      <c r="BM70" s="1138"/>
      <c r="BN70" s="1138"/>
      <c r="BO70" s="1138"/>
      <c r="BP70" s="1138"/>
      <c r="BQ70" s="1138"/>
      <c r="BR70" s="1138"/>
      <c r="BS70" s="1138"/>
      <c r="BT70" s="1138"/>
      <c r="BU70" s="1138"/>
      <c r="BV70" s="1138"/>
      <c r="BW70" s="1138"/>
      <c r="BX70" s="1138"/>
      <c r="BY70" s="1138"/>
      <c r="BZ70" s="1138"/>
      <c r="CA70" s="1138"/>
      <c r="CB70" s="1138"/>
    </row>
    <row r="71" spans="1:80" x14ac:dyDescent="0.3">
      <c r="A71" s="269">
        <v>171</v>
      </c>
      <c r="B71" s="1002">
        <v>171</v>
      </c>
      <c r="C71" s="269" t="s">
        <v>217</v>
      </c>
      <c r="D71" s="269" t="s">
        <v>380</v>
      </c>
      <c r="E71" s="1138">
        <v>32935</v>
      </c>
      <c r="F71" s="1138">
        <v>1752049</v>
      </c>
      <c r="G71" s="1138">
        <v>0</v>
      </c>
      <c r="H71" s="1138">
        <v>3988736</v>
      </c>
      <c r="I71" s="1138">
        <v>196678</v>
      </c>
      <c r="J71" s="1138">
        <v>0</v>
      </c>
      <c r="K71" s="1138">
        <v>0</v>
      </c>
      <c r="L71" s="1138">
        <v>95558</v>
      </c>
      <c r="M71" s="1138">
        <v>8487626</v>
      </c>
      <c r="N71" s="1138">
        <v>0</v>
      </c>
      <c r="O71" s="1138">
        <v>11270</v>
      </c>
      <c r="P71" s="1138">
        <v>43106</v>
      </c>
      <c r="Q71" s="1138">
        <v>4257835</v>
      </c>
      <c r="R71" s="1138">
        <v>2978562</v>
      </c>
      <c r="S71" s="1138">
        <v>465512</v>
      </c>
      <c r="T71" s="1138">
        <v>621069</v>
      </c>
      <c r="U71" s="1138">
        <v>0</v>
      </c>
      <c r="V71" s="1138">
        <v>962099</v>
      </c>
      <c r="W71" s="1138">
        <v>0</v>
      </c>
      <c r="X71" s="1138">
        <v>2132787</v>
      </c>
      <c r="Y71" s="1138">
        <v>715473</v>
      </c>
      <c r="Z71" s="1138">
        <v>816208</v>
      </c>
      <c r="AA71" s="1138">
        <v>97898</v>
      </c>
      <c r="AB71" s="1138">
        <v>282563</v>
      </c>
      <c r="AC71" s="1138">
        <v>0</v>
      </c>
      <c r="AD71" s="1138">
        <v>4894</v>
      </c>
      <c r="AE71" s="1138">
        <v>70740</v>
      </c>
      <c r="AF71" s="1138">
        <v>269530</v>
      </c>
      <c r="AG71" s="1138">
        <v>5052</v>
      </c>
      <c r="AH71" s="1138">
        <v>0</v>
      </c>
      <c r="AI71" s="1138">
        <v>0</v>
      </c>
      <c r="AJ71" s="1138">
        <v>0</v>
      </c>
      <c r="AK71" s="1138">
        <v>604090</v>
      </c>
      <c r="AL71" s="1138">
        <v>0</v>
      </c>
      <c r="AM71" s="1138">
        <v>0</v>
      </c>
      <c r="AN71" s="1138">
        <v>1621480</v>
      </c>
      <c r="AO71" s="1138">
        <v>786777</v>
      </c>
      <c r="AP71" s="1138">
        <v>0</v>
      </c>
      <c r="AQ71" s="1138">
        <v>207214</v>
      </c>
      <c r="AR71" s="1138">
        <v>1033172</v>
      </c>
      <c r="AS71" s="1138">
        <v>47612</v>
      </c>
      <c r="AT71" s="1138">
        <v>108163</v>
      </c>
      <c r="AU71" s="1138">
        <v>2849398</v>
      </c>
      <c r="AV71" s="1138">
        <v>394488</v>
      </c>
      <c r="AW71" s="1138">
        <v>0</v>
      </c>
      <c r="AX71" s="1138">
        <v>3514</v>
      </c>
      <c r="AY71" s="1138">
        <v>198692</v>
      </c>
      <c r="AZ71" s="1138">
        <v>78236</v>
      </c>
      <c r="BA71" s="1138">
        <v>128017</v>
      </c>
      <c r="BB71" s="1138">
        <v>0</v>
      </c>
      <c r="BC71" s="1138">
        <v>0</v>
      </c>
      <c r="BD71" s="1138">
        <v>0</v>
      </c>
      <c r="BE71" s="1138">
        <v>0</v>
      </c>
      <c r="BF71" s="1138">
        <v>0</v>
      </c>
      <c r="BG71" s="1138">
        <v>0</v>
      </c>
      <c r="BH71" s="1138">
        <v>0</v>
      </c>
      <c r="BI71" s="1138">
        <v>38826</v>
      </c>
      <c r="BJ71" s="1138">
        <v>194685</v>
      </c>
      <c r="BK71" s="1138">
        <v>0</v>
      </c>
      <c r="BL71" s="1138">
        <v>276905</v>
      </c>
      <c r="BM71" s="1138">
        <v>0</v>
      </c>
      <c r="BN71" s="1138">
        <v>0</v>
      </c>
      <c r="BO71" s="1138">
        <v>220529</v>
      </c>
      <c r="BP71" s="1138">
        <v>0</v>
      </c>
      <c r="BQ71" s="1138">
        <v>12304</v>
      </c>
      <c r="BR71" s="1138">
        <v>0</v>
      </c>
      <c r="BS71" s="1138">
        <v>0</v>
      </c>
      <c r="BT71" s="1138">
        <v>1377753</v>
      </c>
      <c r="BU71" s="1138">
        <v>62330</v>
      </c>
      <c r="BV71" s="1138">
        <v>87658</v>
      </c>
      <c r="BW71" s="1138">
        <v>83200</v>
      </c>
      <c r="BX71" s="1138">
        <v>0</v>
      </c>
      <c r="BY71" s="1138">
        <v>0</v>
      </c>
      <c r="BZ71" s="1138">
        <v>0</v>
      </c>
      <c r="CA71" s="1138">
        <v>1633032</v>
      </c>
      <c r="CB71" s="1138">
        <v>0</v>
      </c>
    </row>
    <row r="72" spans="1:80" x14ac:dyDescent="0.3">
      <c r="A72" s="269">
        <v>191</v>
      </c>
      <c r="B72" s="1002">
        <v>191</v>
      </c>
      <c r="C72" s="269" t="s">
        <v>233</v>
      </c>
      <c r="D72" s="269" t="s">
        <v>381</v>
      </c>
      <c r="E72" s="1138">
        <v>0</v>
      </c>
      <c r="F72" s="1138">
        <v>0</v>
      </c>
      <c r="G72" s="1138">
        <v>0</v>
      </c>
      <c r="H72" s="1138">
        <v>0</v>
      </c>
      <c r="I72" s="1138">
        <v>0</v>
      </c>
      <c r="J72" s="1138">
        <v>0</v>
      </c>
      <c r="K72" s="1138">
        <v>0</v>
      </c>
      <c r="L72" s="1138">
        <v>0</v>
      </c>
      <c r="M72" s="1138">
        <v>1152708</v>
      </c>
      <c r="N72" s="1138">
        <v>0</v>
      </c>
      <c r="O72" s="1138">
        <v>0</v>
      </c>
      <c r="P72" s="1138">
        <v>93901</v>
      </c>
      <c r="Q72" s="1138">
        <v>0</v>
      </c>
      <c r="R72" s="1138">
        <v>586486</v>
      </c>
      <c r="S72" s="1138">
        <v>0</v>
      </c>
      <c r="T72" s="1138">
        <v>467234</v>
      </c>
      <c r="U72" s="1138">
        <v>0</v>
      </c>
      <c r="V72" s="1138">
        <v>0</v>
      </c>
      <c r="W72" s="1138">
        <v>0</v>
      </c>
      <c r="X72" s="1138">
        <v>0</v>
      </c>
      <c r="Y72" s="1138">
        <v>0</v>
      </c>
      <c r="Z72" s="1138">
        <v>0</v>
      </c>
      <c r="AA72" s="1138">
        <v>0</v>
      </c>
      <c r="AB72" s="1138">
        <v>0</v>
      </c>
      <c r="AC72" s="1138">
        <v>0</v>
      </c>
      <c r="AD72" s="1138">
        <v>0</v>
      </c>
      <c r="AE72" s="1138">
        <v>6750</v>
      </c>
      <c r="AF72" s="1138">
        <v>0</v>
      </c>
      <c r="AG72" s="1138">
        <v>0</v>
      </c>
      <c r="AH72" s="1138">
        <v>0</v>
      </c>
      <c r="AI72" s="1138">
        <v>0</v>
      </c>
      <c r="AJ72" s="1138">
        <v>28720</v>
      </c>
      <c r="AK72" s="1138">
        <v>4186866</v>
      </c>
      <c r="AL72" s="1138">
        <v>0</v>
      </c>
      <c r="AM72" s="1138">
        <v>0</v>
      </c>
      <c r="AN72" s="1138">
        <v>0</v>
      </c>
      <c r="AO72" s="1138">
        <v>231370</v>
      </c>
      <c r="AP72" s="1138">
        <v>0</v>
      </c>
      <c r="AQ72" s="1138">
        <v>0</v>
      </c>
      <c r="AR72" s="1138">
        <v>0</v>
      </c>
      <c r="AS72" s="1138">
        <v>0</v>
      </c>
      <c r="AT72" s="1138">
        <v>0</v>
      </c>
      <c r="AU72" s="1138">
        <v>0</v>
      </c>
      <c r="AV72" s="1138">
        <v>0</v>
      </c>
      <c r="AW72" s="1138">
        <v>0</v>
      </c>
      <c r="AX72" s="1138">
        <v>0</v>
      </c>
      <c r="AY72" s="1138">
        <v>0</v>
      </c>
      <c r="AZ72" s="1138">
        <v>1343439</v>
      </c>
      <c r="BA72" s="1138">
        <v>92650</v>
      </c>
      <c r="BB72" s="1138">
        <v>0</v>
      </c>
      <c r="BC72" s="1138">
        <v>0</v>
      </c>
      <c r="BD72" s="1138">
        <v>0</v>
      </c>
      <c r="BE72" s="1138">
        <v>0</v>
      </c>
      <c r="BF72" s="1138">
        <v>0</v>
      </c>
      <c r="BG72" s="1138">
        <v>0</v>
      </c>
      <c r="BH72" s="1138">
        <v>0</v>
      </c>
      <c r="BI72" s="1138">
        <v>300000</v>
      </c>
      <c r="BJ72" s="1138">
        <v>0</v>
      </c>
      <c r="BK72" s="1138">
        <v>0</v>
      </c>
      <c r="BL72" s="1138">
        <v>10351</v>
      </c>
      <c r="BM72" s="1138">
        <v>0</v>
      </c>
      <c r="BN72" s="1138">
        <v>0</v>
      </c>
      <c r="BO72" s="1138">
        <v>156300</v>
      </c>
      <c r="BP72" s="1138">
        <v>625027</v>
      </c>
      <c r="BQ72" s="1138">
        <v>0</v>
      </c>
      <c r="BR72" s="1138">
        <v>13814</v>
      </c>
      <c r="BS72" s="1138">
        <v>0</v>
      </c>
      <c r="BT72" s="1138">
        <v>0</v>
      </c>
      <c r="BU72" s="1138">
        <v>457151</v>
      </c>
      <c r="BV72" s="1138">
        <v>0</v>
      </c>
      <c r="BW72" s="1138">
        <v>76983</v>
      </c>
      <c r="BX72" s="1138">
        <v>1225970</v>
      </c>
      <c r="BY72" s="1138">
        <v>0</v>
      </c>
      <c r="BZ72" s="1138">
        <v>0</v>
      </c>
      <c r="CA72" s="1138">
        <v>226820</v>
      </c>
      <c r="CB72" s="1138">
        <v>0</v>
      </c>
    </row>
    <row r="73" spans="1:80" x14ac:dyDescent="0.3">
      <c r="A73" s="269">
        <v>192</v>
      </c>
      <c r="B73" s="1002">
        <v>192</v>
      </c>
      <c r="C73" s="269" t="s">
        <v>244</v>
      </c>
      <c r="D73" s="269" t="s">
        <v>382</v>
      </c>
      <c r="E73" s="1138">
        <v>0</v>
      </c>
      <c r="F73" s="1138">
        <v>0</v>
      </c>
      <c r="G73" s="1138">
        <v>0</v>
      </c>
      <c r="H73" s="1138">
        <v>0</v>
      </c>
      <c r="I73" s="1138">
        <v>0</v>
      </c>
      <c r="J73" s="1138">
        <v>0</v>
      </c>
      <c r="K73" s="1138">
        <v>0</v>
      </c>
      <c r="L73" s="1138">
        <v>0</v>
      </c>
      <c r="M73" s="1138">
        <v>0</v>
      </c>
      <c r="N73" s="1138">
        <v>0</v>
      </c>
      <c r="O73" s="1138">
        <v>0</v>
      </c>
      <c r="P73" s="1138">
        <v>0</v>
      </c>
      <c r="Q73" s="1138">
        <v>0</v>
      </c>
      <c r="R73" s="1138">
        <v>0</v>
      </c>
      <c r="S73" s="1138">
        <v>0</v>
      </c>
      <c r="T73" s="1138">
        <v>0</v>
      </c>
      <c r="U73" s="1138">
        <v>0</v>
      </c>
      <c r="V73" s="1138">
        <v>0</v>
      </c>
      <c r="W73" s="1138">
        <v>0</v>
      </c>
      <c r="X73" s="1138">
        <v>0</v>
      </c>
      <c r="Y73" s="1138">
        <v>0</v>
      </c>
      <c r="Z73" s="1138">
        <v>0</v>
      </c>
      <c r="AA73" s="1138">
        <v>0</v>
      </c>
      <c r="AB73" s="1138">
        <v>0</v>
      </c>
      <c r="AC73" s="1138">
        <v>0</v>
      </c>
      <c r="AD73" s="1138">
        <v>0</v>
      </c>
      <c r="AE73" s="1138">
        <v>0</v>
      </c>
      <c r="AF73" s="1138">
        <v>0</v>
      </c>
      <c r="AG73" s="1138">
        <v>0</v>
      </c>
      <c r="AH73" s="1138">
        <v>0</v>
      </c>
      <c r="AI73" s="1138">
        <v>0</v>
      </c>
      <c r="AJ73" s="1138">
        <v>0</v>
      </c>
      <c r="AK73" s="1138">
        <v>1725000</v>
      </c>
      <c r="AL73" s="1138">
        <v>0</v>
      </c>
      <c r="AM73" s="1138">
        <v>0</v>
      </c>
      <c r="AN73" s="1138">
        <v>0</v>
      </c>
      <c r="AO73" s="1138">
        <v>0</v>
      </c>
      <c r="AP73" s="1138">
        <v>0</v>
      </c>
      <c r="AQ73" s="1138">
        <v>0</v>
      </c>
      <c r="AR73" s="1138">
        <v>0</v>
      </c>
      <c r="AS73" s="1138">
        <v>0</v>
      </c>
      <c r="AT73" s="1138">
        <v>0</v>
      </c>
      <c r="AU73" s="1138">
        <v>0</v>
      </c>
      <c r="AV73" s="1138">
        <v>0</v>
      </c>
      <c r="AW73" s="1138">
        <v>0</v>
      </c>
      <c r="AX73" s="1138">
        <v>0</v>
      </c>
      <c r="AY73" s="1138">
        <v>0</v>
      </c>
      <c r="AZ73" s="1138">
        <v>0</v>
      </c>
      <c r="BA73" s="1138">
        <v>0</v>
      </c>
      <c r="BB73" s="1138">
        <v>0</v>
      </c>
      <c r="BC73" s="1138">
        <v>0</v>
      </c>
      <c r="BD73" s="1138">
        <v>0</v>
      </c>
      <c r="BE73" s="1138">
        <v>0</v>
      </c>
      <c r="BF73" s="1138">
        <v>0</v>
      </c>
      <c r="BG73" s="1138">
        <v>0</v>
      </c>
      <c r="BH73" s="1138">
        <v>0</v>
      </c>
      <c r="BI73" s="1138">
        <v>0</v>
      </c>
      <c r="BJ73" s="1138">
        <v>0</v>
      </c>
      <c r="BK73" s="1138">
        <v>0</v>
      </c>
      <c r="BL73" s="1138">
        <v>0</v>
      </c>
      <c r="BM73" s="1138">
        <v>0</v>
      </c>
      <c r="BN73" s="1138">
        <v>0</v>
      </c>
      <c r="BO73" s="1138">
        <v>0</v>
      </c>
      <c r="BP73" s="1138">
        <v>0</v>
      </c>
      <c r="BQ73" s="1138">
        <v>0</v>
      </c>
      <c r="BR73" s="1138">
        <v>0</v>
      </c>
      <c r="BS73" s="1138">
        <v>0</v>
      </c>
      <c r="BT73" s="1138">
        <v>0</v>
      </c>
      <c r="BU73" s="1138">
        <v>0</v>
      </c>
      <c r="BV73" s="1138">
        <v>0</v>
      </c>
      <c r="BW73" s="1138">
        <v>0</v>
      </c>
      <c r="BX73" s="1138">
        <v>0</v>
      </c>
      <c r="BY73" s="1138">
        <v>0</v>
      </c>
      <c r="BZ73" s="1138">
        <v>0</v>
      </c>
      <c r="CA73" s="1138">
        <v>0</v>
      </c>
      <c r="CB73" s="1138">
        <v>0</v>
      </c>
    </row>
    <row r="74" spans="1:80" x14ac:dyDescent="0.3">
      <c r="B74" s="1002">
        <v>193</v>
      </c>
      <c r="C74" s="269" t="s">
        <v>383</v>
      </c>
      <c r="D74" s="269" t="s">
        <v>384</v>
      </c>
      <c r="E74" s="1138"/>
      <c r="F74" s="1138"/>
      <c r="G74" s="1138"/>
      <c r="H74" s="1138"/>
      <c r="I74" s="1138"/>
      <c r="J74" s="1138"/>
      <c r="K74" s="1138"/>
      <c r="L74" s="1138"/>
      <c r="M74" s="1138"/>
      <c r="N74" s="1138"/>
      <c r="O74" s="1138"/>
      <c r="P74" s="1138"/>
      <c r="Q74" s="1138"/>
      <c r="R74" s="1138"/>
      <c r="S74" s="1138"/>
      <c r="T74" s="1138"/>
      <c r="U74" s="1138"/>
      <c r="V74" s="1138"/>
      <c r="W74" s="1138"/>
      <c r="X74" s="1138"/>
      <c r="Y74" s="1138"/>
      <c r="Z74" s="1138"/>
      <c r="AA74" s="1138"/>
      <c r="AB74" s="1138"/>
      <c r="AC74" s="1138"/>
      <c r="AD74" s="1138"/>
      <c r="AE74" s="1138"/>
      <c r="AF74" s="1138"/>
      <c r="AG74" s="1138"/>
      <c r="AH74" s="1138"/>
      <c r="AI74" s="1138"/>
      <c r="AJ74" s="1138"/>
      <c r="AK74" s="1138"/>
      <c r="AL74" s="1138"/>
      <c r="AM74" s="1138"/>
      <c r="AN74" s="1138"/>
      <c r="AO74" s="1138"/>
      <c r="AP74" s="1138"/>
      <c r="AQ74" s="1138"/>
      <c r="AR74" s="1138"/>
      <c r="AS74" s="1138"/>
      <c r="AT74" s="1138"/>
      <c r="AU74" s="1138"/>
      <c r="AV74" s="1138"/>
      <c r="AW74" s="1138"/>
      <c r="AX74" s="1138"/>
      <c r="AY74" s="1138"/>
      <c r="AZ74" s="1138"/>
      <c r="BA74" s="1138"/>
      <c r="BB74" s="1138"/>
      <c r="BC74" s="1138"/>
      <c r="BD74" s="1138"/>
      <c r="BE74" s="1138"/>
      <c r="BF74" s="1138"/>
      <c r="BG74" s="1138"/>
      <c r="BH74" s="1138"/>
      <c r="BI74" s="1138"/>
      <c r="BJ74" s="1138"/>
      <c r="BK74" s="1138"/>
      <c r="BL74" s="1138"/>
      <c r="BM74" s="1138"/>
      <c r="BN74" s="1138"/>
      <c r="BO74" s="1138"/>
      <c r="BP74" s="1138"/>
      <c r="BQ74" s="1138"/>
      <c r="BR74" s="1138"/>
      <c r="BS74" s="1138"/>
      <c r="BT74" s="1138"/>
      <c r="BU74" s="1138"/>
      <c r="BV74" s="1138"/>
      <c r="BW74" s="1138"/>
      <c r="BX74" s="1138"/>
      <c r="BY74" s="1138"/>
      <c r="BZ74" s="1138"/>
      <c r="CA74" s="1138"/>
      <c r="CB74" s="1138"/>
    </row>
    <row r="75" spans="1:80" x14ac:dyDescent="0.3">
      <c r="B75" s="1002">
        <v>194</v>
      </c>
      <c r="C75" s="269" t="s">
        <v>385</v>
      </c>
      <c r="D75" s="269" t="s">
        <v>386</v>
      </c>
      <c r="E75" s="1138"/>
      <c r="F75" s="1138"/>
      <c r="G75" s="1138"/>
      <c r="H75" s="1138"/>
      <c r="I75" s="1138"/>
      <c r="J75" s="1138"/>
      <c r="K75" s="1138"/>
      <c r="L75" s="1138"/>
      <c r="M75" s="1138"/>
      <c r="N75" s="1138"/>
      <c r="O75" s="1138"/>
      <c r="P75" s="1138"/>
      <c r="Q75" s="1138"/>
      <c r="R75" s="1138"/>
      <c r="S75" s="1138"/>
      <c r="T75" s="1138"/>
      <c r="U75" s="1138"/>
      <c r="V75" s="1138"/>
      <c r="W75" s="1138"/>
      <c r="X75" s="1138"/>
      <c r="Y75" s="1138"/>
      <c r="Z75" s="1138"/>
      <c r="AA75" s="1138"/>
      <c r="AB75" s="1138"/>
      <c r="AC75" s="1138"/>
      <c r="AD75" s="1138"/>
      <c r="AE75" s="1138"/>
      <c r="AF75" s="1138"/>
      <c r="AG75" s="1138"/>
      <c r="AH75" s="1138"/>
      <c r="AI75" s="1138"/>
      <c r="AJ75" s="1138"/>
      <c r="AK75" s="1138"/>
      <c r="AL75" s="1138"/>
      <c r="AM75" s="1138"/>
      <c r="AN75" s="1138"/>
      <c r="AO75" s="1138"/>
      <c r="AP75" s="1138"/>
      <c r="AQ75" s="1138"/>
      <c r="AR75" s="1138"/>
      <c r="AS75" s="1138"/>
      <c r="AT75" s="1138"/>
      <c r="AU75" s="1138"/>
      <c r="AV75" s="1138"/>
      <c r="AW75" s="1138"/>
      <c r="AX75" s="1138"/>
      <c r="AY75" s="1138"/>
      <c r="AZ75" s="1138"/>
      <c r="BA75" s="1138"/>
      <c r="BB75" s="1138"/>
      <c r="BC75" s="1138"/>
      <c r="BD75" s="1138"/>
      <c r="BE75" s="1138"/>
      <c r="BF75" s="1138"/>
      <c r="BG75" s="1138"/>
      <c r="BH75" s="1138"/>
      <c r="BI75" s="1138"/>
      <c r="BJ75" s="1138"/>
      <c r="BK75" s="1138"/>
      <c r="BL75" s="1138"/>
      <c r="BM75" s="1138"/>
      <c r="BN75" s="1138"/>
      <c r="BO75" s="1138"/>
      <c r="BP75" s="1138"/>
      <c r="BQ75" s="1138"/>
      <c r="BR75" s="1138"/>
      <c r="BS75" s="1138"/>
      <c r="BT75" s="1138"/>
      <c r="BU75" s="1138"/>
      <c r="BV75" s="1138"/>
      <c r="BW75" s="1138"/>
      <c r="BX75" s="1138"/>
      <c r="BY75" s="1138"/>
      <c r="BZ75" s="1138"/>
      <c r="CA75" s="1138"/>
      <c r="CB75" s="1138"/>
    </row>
    <row r="76" spans="1:80" x14ac:dyDescent="0.3">
      <c r="B76" s="1002">
        <v>231</v>
      </c>
      <c r="C76" s="269" t="s">
        <v>387</v>
      </c>
      <c r="D76" s="269" t="s">
        <v>388</v>
      </c>
      <c r="E76" s="1138"/>
      <c r="F76" s="1138"/>
      <c r="G76" s="1138"/>
      <c r="H76" s="1138"/>
      <c r="I76" s="1138"/>
      <c r="J76" s="1138"/>
      <c r="K76" s="1138"/>
      <c r="L76" s="1138"/>
      <c r="M76" s="1138"/>
      <c r="N76" s="1138"/>
      <c r="O76" s="1138"/>
      <c r="P76" s="1138"/>
      <c r="Q76" s="1138"/>
      <c r="R76" s="1138"/>
      <c r="S76" s="1138"/>
      <c r="T76" s="1138"/>
      <c r="U76" s="1138"/>
      <c r="V76" s="1138"/>
      <c r="W76" s="1138"/>
      <c r="X76" s="1138"/>
      <c r="Y76" s="1138"/>
      <c r="Z76" s="1138"/>
      <c r="AA76" s="1138"/>
      <c r="AB76" s="1138"/>
      <c r="AC76" s="1138"/>
      <c r="AD76" s="1138"/>
      <c r="AE76" s="1138"/>
      <c r="AF76" s="1138"/>
      <c r="AG76" s="1138"/>
      <c r="AH76" s="1138"/>
      <c r="AI76" s="1138"/>
      <c r="AJ76" s="1138"/>
      <c r="AK76" s="1138"/>
      <c r="AL76" s="1138"/>
      <c r="AM76" s="1138"/>
      <c r="AN76" s="1138"/>
      <c r="AO76" s="1138"/>
      <c r="AP76" s="1138"/>
      <c r="AQ76" s="1138"/>
      <c r="AR76" s="1138"/>
      <c r="AS76" s="1138"/>
      <c r="AT76" s="1138"/>
      <c r="AU76" s="1138"/>
      <c r="AV76" s="1138"/>
      <c r="AW76" s="1138"/>
      <c r="AX76" s="1138"/>
      <c r="AY76" s="1138"/>
      <c r="AZ76" s="1138"/>
      <c r="BA76" s="1138"/>
      <c r="BB76" s="1138"/>
      <c r="BC76" s="1138"/>
      <c r="BD76" s="1138"/>
      <c r="BE76" s="1138"/>
      <c r="BF76" s="1138"/>
      <c r="BG76" s="1138"/>
      <c r="BH76" s="1138"/>
      <c r="BI76" s="1138"/>
      <c r="BJ76" s="1138"/>
      <c r="BK76" s="1138"/>
      <c r="BL76" s="1138"/>
      <c r="BM76" s="1138"/>
      <c r="BN76" s="1138"/>
      <c r="BO76" s="1138"/>
      <c r="BP76" s="1138"/>
      <c r="BQ76" s="1138"/>
      <c r="BR76" s="1138"/>
      <c r="BS76" s="1138"/>
      <c r="BT76" s="1138"/>
      <c r="BU76" s="1138"/>
      <c r="BV76" s="1138"/>
      <c r="BW76" s="1138"/>
      <c r="BX76" s="1138"/>
      <c r="BY76" s="1138"/>
      <c r="BZ76" s="1138"/>
      <c r="CA76" s="1138"/>
      <c r="CB76" s="1138"/>
    </row>
    <row r="77" spans="1:80" x14ac:dyDescent="0.3">
      <c r="B77" s="1002">
        <v>251</v>
      </c>
      <c r="C77" s="269" t="s">
        <v>389</v>
      </c>
      <c r="D77" s="269" t="s">
        <v>390</v>
      </c>
      <c r="E77" s="1138"/>
      <c r="F77" s="1138"/>
      <c r="G77" s="1138"/>
      <c r="H77" s="1138"/>
      <c r="I77" s="1138"/>
      <c r="J77" s="1138"/>
      <c r="K77" s="1138"/>
      <c r="L77" s="1138"/>
      <c r="M77" s="1138"/>
      <c r="N77" s="1138"/>
      <c r="O77" s="1138"/>
      <c r="P77" s="1138"/>
      <c r="Q77" s="1138"/>
      <c r="R77" s="1138"/>
      <c r="S77" s="1138"/>
      <c r="T77" s="1138"/>
      <c r="U77" s="1138"/>
      <c r="V77" s="1138"/>
      <c r="W77" s="1138"/>
      <c r="X77" s="1138"/>
      <c r="Y77" s="1138"/>
      <c r="Z77" s="1138"/>
      <c r="AA77" s="1138"/>
      <c r="AB77" s="1138"/>
      <c r="AC77" s="1138"/>
      <c r="AD77" s="1138"/>
      <c r="AE77" s="1138"/>
      <c r="AF77" s="1138"/>
      <c r="AG77" s="1138"/>
      <c r="AH77" s="1138"/>
      <c r="AI77" s="1138"/>
      <c r="AJ77" s="1138"/>
      <c r="AK77" s="1138"/>
      <c r="AL77" s="1138"/>
      <c r="AM77" s="1138"/>
      <c r="AN77" s="1138"/>
      <c r="AO77" s="1138"/>
      <c r="AP77" s="1138"/>
      <c r="AQ77" s="1138"/>
      <c r="AR77" s="1138"/>
      <c r="AS77" s="1138"/>
      <c r="AT77" s="1138"/>
      <c r="AU77" s="1138"/>
      <c r="AV77" s="1138"/>
      <c r="AW77" s="1138"/>
      <c r="AX77" s="1138"/>
      <c r="AY77" s="1138"/>
      <c r="AZ77" s="1138"/>
      <c r="BA77" s="1138"/>
      <c r="BB77" s="1138"/>
      <c r="BC77" s="1138"/>
      <c r="BD77" s="1138"/>
      <c r="BE77" s="1138"/>
      <c r="BF77" s="1138"/>
      <c r="BG77" s="1138"/>
      <c r="BH77" s="1138"/>
      <c r="BI77" s="1138"/>
      <c r="BJ77" s="1138"/>
      <c r="BK77" s="1138"/>
      <c r="BL77" s="1138"/>
      <c r="BM77" s="1138"/>
      <c r="BN77" s="1138"/>
      <c r="BO77" s="1138"/>
      <c r="BP77" s="1138"/>
      <c r="BQ77" s="1138"/>
      <c r="BR77" s="1138"/>
      <c r="BS77" s="1138"/>
      <c r="BT77" s="1138"/>
      <c r="BU77" s="1138"/>
      <c r="BV77" s="1138"/>
      <c r="BW77" s="1138"/>
      <c r="BX77" s="1138"/>
      <c r="BY77" s="1138"/>
      <c r="BZ77" s="1138"/>
      <c r="CA77" s="1138"/>
      <c r="CB77" s="1138"/>
    </row>
    <row r="78" spans="1:80" x14ac:dyDescent="0.3">
      <c r="A78" s="269">
        <v>252</v>
      </c>
      <c r="B78" s="1002">
        <v>252</v>
      </c>
      <c r="C78" s="269" t="s">
        <v>103</v>
      </c>
      <c r="D78" s="269" t="s">
        <v>391</v>
      </c>
      <c r="E78" s="1138">
        <v>1813672</v>
      </c>
      <c r="F78" s="1138">
        <v>38307083</v>
      </c>
      <c r="G78" s="1138">
        <v>0</v>
      </c>
      <c r="H78" s="1138">
        <v>73151872</v>
      </c>
      <c r="I78" s="1138">
        <v>6296313</v>
      </c>
      <c r="J78" s="1138">
        <v>50656</v>
      </c>
      <c r="K78" s="1138">
        <v>559201</v>
      </c>
      <c r="L78" s="1138">
        <v>1982992</v>
      </c>
      <c r="M78" s="1138">
        <v>117861535</v>
      </c>
      <c r="N78" s="1138">
        <v>76687</v>
      </c>
      <c r="O78" s="1138">
        <v>1257858</v>
      </c>
      <c r="P78" s="1138">
        <v>1461810</v>
      </c>
      <c r="Q78" s="1138">
        <v>132300481</v>
      </c>
      <c r="R78" s="1138">
        <v>24623812</v>
      </c>
      <c r="S78" s="1138">
        <v>9139595</v>
      </c>
      <c r="T78" s="1138">
        <v>7919936</v>
      </c>
      <c r="U78" s="1138">
        <v>0</v>
      </c>
      <c r="V78" s="1138">
        <v>14693708</v>
      </c>
      <c r="W78" s="1138">
        <v>0</v>
      </c>
      <c r="X78" s="1138">
        <v>15060663</v>
      </c>
      <c r="Y78" s="1138">
        <v>84694947</v>
      </c>
      <c r="Z78" s="1138">
        <v>6805308</v>
      </c>
      <c r="AA78" s="1138">
        <v>2084635</v>
      </c>
      <c r="AB78" s="1138">
        <v>6630863</v>
      </c>
      <c r="AC78" s="1138">
        <v>315720</v>
      </c>
      <c r="AD78" s="1138">
        <v>285892</v>
      </c>
      <c r="AE78" s="1138">
        <v>2046666</v>
      </c>
      <c r="AF78" s="1138">
        <v>2239815</v>
      </c>
      <c r="AG78" s="1138">
        <v>1189535</v>
      </c>
      <c r="AH78" s="1138">
        <v>81229</v>
      </c>
      <c r="AI78" s="1138">
        <v>1113893</v>
      </c>
      <c r="AJ78" s="1138">
        <v>1655211</v>
      </c>
      <c r="AK78" s="1138">
        <v>6652346</v>
      </c>
      <c r="AL78" s="1138">
        <v>607944</v>
      </c>
      <c r="AM78" s="1138">
        <v>22102</v>
      </c>
      <c r="AN78" s="1138">
        <v>53034658</v>
      </c>
      <c r="AO78" s="1138">
        <v>22395076</v>
      </c>
      <c r="AP78" s="1138">
        <v>210332</v>
      </c>
      <c r="AQ78" s="1138">
        <v>7750583</v>
      </c>
      <c r="AR78" s="1138">
        <v>36749294</v>
      </c>
      <c r="AS78" s="1138">
        <v>1086814</v>
      </c>
      <c r="AT78" s="1138">
        <v>1146876</v>
      </c>
      <c r="AU78" s="1138">
        <v>3698517</v>
      </c>
      <c r="AV78" s="1138">
        <v>18180889</v>
      </c>
      <c r="AW78" s="1138">
        <v>850940</v>
      </c>
      <c r="AX78" s="1138">
        <v>949203</v>
      </c>
      <c r="AY78" s="1138">
        <v>8456451</v>
      </c>
      <c r="AZ78" s="1138">
        <v>2067312</v>
      </c>
      <c r="BA78" s="1138">
        <v>5531343</v>
      </c>
      <c r="BB78" s="1138">
        <v>22410</v>
      </c>
      <c r="BC78" s="1138">
        <v>0</v>
      </c>
      <c r="BD78" s="1138">
        <v>0</v>
      </c>
      <c r="BE78" s="1138">
        <v>20063</v>
      </c>
      <c r="BF78" s="1138">
        <v>0</v>
      </c>
      <c r="BG78" s="1138">
        <v>248213</v>
      </c>
      <c r="BH78" s="1138">
        <v>57653</v>
      </c>
      <c r="BI78" s="1138">
        <v>1885833</v>
      </c>
      <c r="BJ78" s="1138">
        <v>7535259</v>
      </c>
      <c r="BK78" s="1138">
        <v>0</v>
      </c>
      <c r="BL78" s="1138">
        <v>8804972</v>
      </c>
      <c r="BM78" s="1138">
        <v>7503413</v>
      </c>
      <c r="BN78" s="1138">
        <v>51476</v>
      </c>
      <c r="BO78" s="1138">
        <v>9328813</v>
      </c>
      <c r="BP78" s="1138">
        <v>4267498</v>
      </c>
      <c r="BQ78" s="1138">
        <v>605675</v>
      </c>
      <c r="BR78" s="1138">
        <v>1472576</v>
      </c>
      <c r="BS78" s="1138">
        <v>3863247</v>
      </c>
      <c r="BT78" s="1138">
        <v>250632772</v>
      </c>
      <c r="BU78" s="1138">
        <v>1777133</v>
      </c>
      <c r="BV78" s="1138">
        <v>2457562</v>
      </c>
      <c r="BW78" s="1138">
        <v>794480</v>
      </c>
      <c r="BX78" s="1138">
        <v>3050486</v>
      </c>
      <c r="BY78" s="1138">
        <v>8658</v>
      </c>
      <c r="BZ78" s="1138">
        <v>6681</v>
      </c>
      <c r="CA78" s="1138">
        <v>44539110</v>
      </c>
      <c r="CB78" s="1138">
        <v>118401</v>
      </c>
    </row>
    <row r="79" spans="1:80" x14ac:dyDescent="0.3">
      <c r="A79" s="269">
        <v>253</v>
      </c>
      <c r="B79" s="1002">
        <v>253</v>
      </c>
      <c r="C79" s="269" t="s">
        <v>104</v>
      </c>
      <c r="D79" s="269" t="s">
        <v>392</v>
      </c>
      <c r="E79" s="1138">
        <v>257816</v>
      </c>
      <c r="F79" s="1138">
        <v>6132641</v>
      </c>
      <c r="G79" s="1138">
        <v>0</v>
      </c>
      <c r="H79" s="1138">
        <v>9533420</v>
      </c>
      <c r="I79" s="1138">
        <v>883391</v>
      </c>
      <c r="J79" s="1138">
        <v>165690</v>
      </c>
      <c r="K79" s="1138">
        <v>202780</v>
      </c>
      <c r="L79" s="1138">
        <v>656458</v>
      </c>
      <c r="M79" s="1138">
        <v>15207639</v>
      </c>
      <c r="N79" s="1138">
        <v>42547</v>
      </c>
      <c r="O79" s="1138">
        <v>242272</v>
      </c>
      <c r="P79" s="1138">
        <v>268665</v>
      </c>
      <c r="Q79" s="1138">
        <v>3562507</v>
      </c>
      <c r="R79" s="1138">
        <v>5221050</v>
      </c>
      <c r="S79" s="1138">
        <v>451803</v>
      </c>
      <c r="T79" s="1138">
        <v>1817801</v>
      </c>
      <c r="U79" s="1138">
        <v>0</v>
      </c>
      <c r="V79" s="1138">
        <v>10437314</v>
      </c>
      <c r="W79" s="1138">
        <v>105252</v>
      </c>
      <c r="X79" s="1138">
        <v>3994237</v>
      </c>
      <c r="Y79" s="1138">
        <v>2813131</v>
      </c>
      <c r="Z79" s="1138">
        <v>827977</v>
      </c>
      <c r="AA79" s="1138">
        <v>689329</v>
      </c>
      <c r="AB79" s="1138">
        <v>1205208</v>
      </c>
      <c r="AC79" s="1138">
        <v>271542</v>
      </c>
      <c r="AD79" s="1138">
        <v>72557</v>
      </c>
      <c r="AE79" s="1138">
        <v>426551</v>
      </c>
      <c r="AF79" s="1138">
        <v>1411154</v>
      </c>
      <c r="AG79" s="1138">
        <v>24681</v>
      </c>
      <c r="AH79" s="1138">
        <v>24172</v>
      </c>
      <c r="AI79" s="1138">
        <v>164502</v>
      </c>
      <c r="AJ79" s="1138">
        <v>231208</v>
      </c>
      <c r="AK79" s="1138">
        <v>973612</v>
      </c>
      <c r="AL79" s="1138">
        <v>40252</v>
      </c>
      <c r="AM79" s="1138">
        <v>3206</v>
      </c>
      <c r="AN79" s="1138">
        <v>4771345</v>
      </c>
      <c r="AO79" s="1138">
        <v>1815848</v>
      </c>
      <c r="AP79" s="1138">
        <v>96498</v>
      </c>
      <c r="AQ79" s="1138">
        <v>909549</v>
      </c>
      <c r="AR79" s="1138">
        <v>5439650</v>
      </c>
      <c r="AS79" s="1138">
        <v>1019421</v>
      </c>
      <c r="AT79" s="1138">
        <v>67507</v>
      </c>
      <c r="AU79" s="1138">
        <v>794161</v>
      </c>
      <c r="AV79" s="1138">
        <v>1446522</v>
      </c>
      <c r="AW79" s="1138">
        <v>4591</v>
      </c>
      <c r="AX79" s="1138">
        <v>109687</v>
      </c>
      <c r="AY79" s="1138">
        <v>274497</v>
      </c>
      <c r="AZ79" s="1138">
        <v>1051718</v>
      </c>
      <c r="BA79" s="1138">
        <v>1291352</v>
      </c>
      <c r="BB79" s="1138">
        <v>34925</v>
      </c>
      <c r="BC79" s="1138">
        <v>0</v>
      </c>
      <c r="BD79" s="1138">
        <v>0</v>
      </c>
      <c r="BE79" s="1138">
        <v>20349</v>
      </c>
      <c r="BF79" s="1138">
        <v>0</v>
      </c>
      <c r="BG79" s="1138">
        <v>94408</v>
      </c>
      <c r="BH79" s="1138">
        <v>24480</v>
      </c>
      <c r="BI79" s="1138">
        <v>442879</v>
      </c>
      <c r="BJ79" s="1138">
        <v>264677</v>
      </c>
      <c r="BK79" s="1138">
        <v>0</v>
      </c>
      <c r="BL79" s="1138">
        <v>835211</v>
      </c>
      <c r="BM79" s="1138">
        <v>509132</v>
      </c>
      <c r="BN79" s="1138">
        <v>5800</v>
      </c>
      <c r="BO79" s="1138">
        <v>1620357</v>
      </c>
      <c r="BP79" s="1138">
        <v>262354</v>
      </c>
      <c r="BQ79" s="1138">
        <v>209203</v>
      </c>
      <c r="BR79" s="1138">
        <v>342368</v>
      </c>
      <c r="BS79" s="1138">
        <v>49327</v>
      </c>
      <c r="BT79" s="1138">
        <v>7862034</v>
      </c>
      <c r="BU79" s="1138">
        <v>639368</v>
      </c>
      <c r="BV79" s="1138">
        <v>424252</v>
      </c>
      <c r="BW79" s="1138">
        <v>225049</v>
      </c>
      <c r="BX79" s="1138">
        <v>624478</v>
      </c>
      <c r="BY79" s="1138">
        <v>20852</v>
      </c>
      <c r="BZ79" s="1138">
        <v>19992</v>
      </c>
      <c r="CA79" s="1138">
        <v>2844468</v>
      </c>
      <c r="CB79" s="1138">
        <v>39080</v>
      </c>
    </row>
    <row r="80" spans="1:80" x14ac:dyDescent="0.3">
      <c r="A80" s="269">
        <v>254</v>
      </c>
      <c r="B80" s="1002">
        <v>254</v>
      </c>
      <c r="C80" s="269" t="s">
        <v>105</v>
      </c>
      <c r="D80" s="269" t="s">
        <v>393</v>
      </c>
      <c r="E80" s="1138">
        <v>428771</v>
      </c>
      <c r="F80" s="1138">
        <v>18173880</v>
      </c>
      <c r="G80" s="1138">
        <v>0</v>
      </c>
      <c r="H80" s="1138">
        <v>25719592</v>
      </c>
      <c r="I80" s="1138">
        <v>3520041</v>
      </c>
      <c r="J80" s="1138">
        <v>124626</v>
      </c>
      <c r="K80" s="1138">
        <v>2575321</v>
      </c>
      <c r="L80" s="1138">
        <v>242539</v>
      </c>
      <c r="M80" s="1138">
        <v>-41417346</v>
      </c>
      <c r="N80" s="1138">
        <v>194263</v>
      </c>
      <c r="O80" s="1138">
        <v>-308617</v>
      </c>
      <c r="P80" s="1138">
        <v>283244</v>
      </c>
      <c r="Q80" s="1138">
        <v>-5847148</v>
      </c>
      <c r="R80" s="1138">
        <v>4895344</v>
      </c>
      <c r="S80" s="1138">
        <v>1558367</v>
      </c>
      <c r="T80" s="1138">
        <v>30291</v>
      </c>
      <c r="U80" s="1138">
        <v>0</v>
      </c>
      <c r="V80" s="1138">
        <v>-2558681</v>
      </c>
      <c r="W80" s="1138">
        <v>168524</v>
      </c>
      <c r="X80" s="1138">
        <v>5051901</v>
      </c>
      <c r="Y80" s="1138">
        <v>-895417</v>
      </c>
      <c r="Z80" s="1138">
        <v>1537329</v>
      </c>
      <c r="AA80" s="1138">
        <v>1506733</v>
      </c>
      <c r="AB80" s="1138">
        <v>-1724116</v>
      </c>
      <c r="AC80" s="1138">
        <v>994606</v>
      </c>
      <c r="AD80" s="1138">
        <v>188541</v>
      </c>
      <c r="AE80" s="1138">
        <v>880278</v>
      </c>
      <c r="AF80" s="1138">
        <v>461758</v>
      </c>
      <c r="AG80" s="1138">
        <v>132689</v>
      </c>
      <c r="AH80" s="1138">
        <v>63669</v>
      </c>
      <c r="AI80" s="1138">
        <v>142067</v>
      </c>
      <c r="AJ80" s="1138">
        <v>1374103</v>
      </c>
      <c r="AK80" s="1138">
        <v>494013</v>
      </c>
      <c r="AL80" s="1138">
        <v>223027</v>
      </c>
      <c r="AM80" s="1138">
        <v>111470</v>
      </c>
      <c r="AN80" s="1138">
        <v>7773066</v>
      </c>
      <c r="AO80" s="1138">
        <v>5425858</v>
      </c>
      <c r="AP80" s="1138">
        <v>515911</v>
      </c>
      <c r="AQ80" s="1138">
        <v>9587374</v>
      </c>
      <c r="AR80" s="1138">
        <v>1101426</v>
      </c>
      <c r="AS80" s="1138">
        <v>1991307</v>
      </c>
      <c r="AT80" s="1138">
        <v>114877</v>
      </c>
      <c r="AU80" s="1138">
        <v>687162</v>
      </c>
      <c r="AV80" s="1138">
        <v>-6908253</v>
      </c>
      <c r="AW80" s="1138">
        <v>109548</v>
      </c>
      <c r="AX80" s="1138">
        <v>267322</v>
      </c>
      <c r="AY80" s="1138">
        <v>2268082</v>
      </c>
      <c r="AZ80" s="1138">
        <v>1052819</v>
      </c>
      <c r="BA80" s="1138">
        <v>-236031</v>
      </c>
      <c r="BB80" s="1138">
        <v>68532</v>
      </c>
      <c r="BC80" s="1138">
        <v>0</v>
      </c>
      <c r="BD80" s="1138">
        <v>0</v>
      </c>
      <c r="BE80" s="1138">
        <v>364282</v>
      </c>
      <c r="BF80" s="1138">
        <v>0</v>
      </c>
      <c r="BG80" s="1138">
        <v>448740</v>
      </c>
      <c r="BH80" s="1138">
        <v>135640</v>
      </c>
      <c r="BI80" s="1138">
        <v>-487225</v>
      </c>
      <c r="BJ80" s="1138">
        <v>2268370</v>
      </c>
      <c r="BK80" s="1138">
        <v>0</v>
      </c>
      <c r="BL80" s="1138">
        <v>1782559</v>
      </c>
      <c r="BM80" s="1138">
        <v>3536176</v>
      </c>
      <c r="BN80" s="1138">
        <v>125766</v>
      </c>
      <c r="BO80" s="1138">
        <v>1333528</v>
      </c>
      <c r="BP80" s="1138">
        <v>2754186</v>
      </c>
      <c r="BQ80" s="1138">
        <v>1408970</v>
      </c>
      <c r="BR80" s="1138">
        <v>862122</v>
      </c>
      <c r="BS80" s="1138">
        <v>2591594</v>
      </c>
      <c r="BT80" s="1138">
        <v>3440253</v>
      </c>
      <c r="BU80" s="1138">
        <v>1947392</v>
      </c>
      <c r="BV80" s="1138">
        <v>-2097878</v>
      </c>
      <c r="BW80" s="1138">
        <v>1032311</v>
      </c>
      <c r="BX80" s="1138">
        <v>644261</v>
      </c>
      <c r="BY80" s="1138">
        <v>157078</v>
      </c>
      <c r="BZ80" s="1138">
        <v>190045</v>
      </c>
      <c r="CA80" s="1138">
        <v>6328882</v>
      </c>
      <c r="CB80" s="1138">
        <v>143832</v>
      </c>
    </row>
    <row r="81" spans="1:80" x14ac:dyDescent="0.3">
      <c r="A81" s="269">
        <v>255</v>
      </c>
      <c r="B81" s="1002">
        <v>255</v>
      </c>
      <c r="C81" s="269" t="s">
        <v>197</v>
      </c>
      <c r="D81" s="269" t="s">
        <v>394</v>
      </c>
      <c r="E81" s="1138">
        <v>-1229377</v>
      </c>
      <c r="F81" s="1138">
        <v>2952630</v>
      </c>
      <c r="G81" s="1138">
        <v>0</v>
      </c>
      <c r="H81" s="1138">
        <v>3007130</v>
      </c>
      <c r="I81" s="1138">
        <v>674106</v>
      </c>
      <c r="J81" s="1138">
        <v>11274</v>
      </c>
      <c r="K81" s="1138">
        <v>51825</v>
      </c>
      <c r="L81" s="1138">
        <v>603526</v>
      </c>
      <c r="M81" s="1138">
        <v>4940947</v>
      </c>
      <c r="N81" s="1138">
        <v>11397</v>
      </c>
      <c r="O81" s="1138">
        <v>30716</v>
      </c>
      <c r="P81" s="1138">
        <v>34276</v>
      </c>
      <c r="Q81" s="1138">
        <v>-63129</v>
      </c>
      <c r="R81" s="1138">
        <v>1855758</v>
      </c>
      <c r="S81" s="1138">
        <v>-324509</v>
      </c>
      <c r="T81" s="1138">
        <v>3119131</v>
      </c>
      <c r="U81" s="1138">
        <v>0</v>
      </c>
      <c r="V81" s="1138">
        <v>4858279</v>
      </c>
      <c r="W81" s="1138">
        <v>4132</v>
      </c>
      <c r="X81" s="1138">
        <v>-408090</v>
      </c>
      <c r="Y81" s="1138">
        <v>8027746</v>
      </c>
      <c r="Z81" s="1138">
        <v>896224</v>
      </c>
      <c r="AA81" s="1138">
        <v>499112</v>
      </c>
      <c r="AB81" s="1138">
        <v>930227</v>
      </c>
      <c r="AC81" s="1138">
        <v>-60540</v>
      </c>
      <c r="AD81" s="1138">
        <v>47922</v>
      </c>
      <c r="AE81" s="1138">
        <v>609409</v>
      </c>
      <c r="AF81" s="1138">
        <v>337120</v>
      </c>
      <c r="AG81" s="1138">
        <v>40449</v>
      </c>
      <c r="AH81" s="1138">
        <v>10198</v>
      </c>
      <c r="AI81" s="1138">
        <v>-37715</v>
      </c>
      <c r="AJ81" s="1138">
        <v>109271</v>
      </c>
      <c r="AK81" s="1138">
        <v>1120</v>
      </c>
      <c r="AL81" s="1138">
        <v>94057</v>
      </c>
      <c r="AM81" s="1138">
        <v>3259</v>
      </c>
      <c r="AN81" s="1138">
        <v>-2574224</v>
      </c>
      <c r="AO81" s="1138">
        <v>761864</v>
      </c>
      <c r="AP81" s="1138">
        <v>156400</v>
      </c>
      <c r="AQ81" s="1138">
        <v>1488102</v>
      </c>
      <c r="AR81" s="1138">
        <v>3079314</v>
      </c>
      <c r="AS81" s="1138">
        <v>156003</v>
      </c>
      <c r="AT81" s="1138">
        <v>101540</v>
      </c>
      <c r="AU81" s="1138">
        <v>207853</v>
      </c>
      <c r="AV81" s="1138">
        <v>292076</v>
      </c>
      <c r="AW81" s="1138">
        <v>178779</v>
      </c>
      <c r="AX81" s="1138">
        <v>-23462</v>
      </c>
      <c r="AY81" s="1138">
        <v>64890</v>
      </c>
      <c r="AZ81" s="1138">
        <v>164729</v>
      </c>
      <c r="BA81" s="1138">
        <v>235095</v>
      </c>
      <c r="BB81" s="1138">
        <v>-25400</v>
      </c>
      <c r="BC81" s="1138">
        <v>0</v>
      </c>
      <c r="BD81" s="1138">
        <v>0</v>
      </c>
      <c r="BE81" s="1138">
        <v>11400</v>
      </c>
      <c r="BF81" s="1138">
        <v>0</v>
      </c>
      <c r="BG81" s="1138">
        <v>328571</v>
      </c>
      <c r="BH81" s="1138">
        <v>14936</v>
      </c>
      <c r="BI81" s="1138">
        <v>-98548</v>
      </c>
      <c r="BJ81" s="1138">
        <v>348490</v>
      </c>
      <c r="BK81" s="1138">
        <v>0</v>
      </c>
      <c r="BL81" s="1138">
        <v>12421</v>
      </c>
      <c r="BM81" s="1138">
        <v>225395</v>
      </c>
      <c r="BN81" s="1138">
        <v>13022</v>
      </c>
      <c r="BO81" s="1138">
        <v>1210312</v>
      </c>
      <c r="BP81" s="1138">
        <v>943300</v>
      </c>
      <c r="BQ81" s="1138">
        <v>34188</v>
      </c>
      <c r="BR81" s="1138">
        <v>62535</v>
      </c>
      <c r="BS81" s="1138">
        <v>-39121</v>
      </c>
      <c r="BT81" s="1138">
        <v>506025</v>
      </c>
      <c r="BU81" s="1138">
        <v>540996</v>
      </c>
      <c r="BV81" s="1138">
        <v>141745</v>
      </c>
      <c r="BW81" s="1138">
        <v>920072</v>
      </c>
      <c r="BX81" s="1138">
        <v>1831045</v>
      </c>
      <c r="BY81" s="1138">
        <v>11028</v>
      </c>
      <c r="BZ81" s="1138">
        <v>2794</v>
      </c>
      <c r="CA81" s="1138">
        <v>4196463</v>
      </c>
      <c r="CB81" s="1138">
        <v>59937</v>
      </c>
    </row>
    <row r="82" spans="1:80" x14ac:dyDescent="0.3">
      <c r="B82" s="1002">
        <v>274</v>
      </c>
      <c r="C82" s="269" t="s">
        <v>395</v>
      </c>
      <c r="D82" s="269" t="s">
        <v>396</v>
      </c>
      <c r="E82" s="1138"/>
      <c r="F82" s="1138"/>
      <c r="G82" s="1138"/>
      <c r="H82" s="1138"/>
      <c r="I82" s="1138"/>
      <c r="J82" s="1138"/>
      <c r="K82" s="1138"/>
      <c r="L82" s="1138"/>
      <c r="M82" s="1138"/>
      <c r="N82" s="1138"/>
      <c r="O82" s="1138"/>
      <c r="P82" s="1138"/>
      <c r="Q82" s="1138"/>
      <c r="R82" s="1138"/>
      <c r="S82" s="1138"/>
      <c r="T82" s="1138"/>
      <c r="U82" s="1138"/>
      <c r="V82" s="1138"/>
      <c r="W82" s="1138"/>
      <c r="X82" s="1138"/>
      <c r="Y82" s="1138"/>
      <c r="Z82" s="1138"/>
      <c r="AA82" s="1138"/>
      <c r="AB82" s="1138"/>
      <c r="AC82" s="1138"/>
      <c r="AD82" s="1138"/>
      <c r="AE82" s="1138"/>
      <c r="AF82" s="1138"/>
      <c r="AG82" s="1138"/>
      <c r="AH82" s="1138"/>
      <c r="AI82" s="1138"/>
      <c r="AJ82" s="1138"/>
      <c r="AK82" s="1138"/>
      <c r="AL82" s="1138"/>
      <c r="AM82" s="1138"/>
      <c r="AN82" s="1138"/>
      <c r="AO82" s="1138"/>
      <c r="AP82" s="1138"/>
      <c r="AQ82" s="1138"/>
      <c r="AR82" s="1138"/>
      <c r="AS82" s="1138"/>
      <c r="AT82" s="1138"/>
      <c r="AU82" s="1138"/>
      <c r="AV82" s="1138"/>
      <c r="AW82" s="1138"/>
      <c r="AX82" s="1138"/>
      <c r="AY82" s="1138"/>
      <c r="AZ82" s="1138"/>
      <c r="BA82" s="1138"/>
      <c r="BB82" s="1138"/>
      <c r="BC82" s="1138"/>
      <c r="BD82" s="1138"/>
      <c r="BE82" s="1138"/>
      <c r="BF82" s="1138"/>
      <c r="BG82" s="1138"/>
      <c r="BH82" s="1138"/>
      <c r="BI82" s="1138"/>
      <c r="BJ82" s="1138"/>
      <c r="BK82" s="1138"/>
      <c r="BL82" s="1138"/>
      <c r="BM82" s="1138"/>
      <c r="BN82" s="1138"/>
      <c r="BO82" s="1138"/>
      <c r="BP82" s="1138"/>
      <c r="BQ82" s="1138"/>
      <c r="BR82" s="1138"/>
      <c r="BS82" s="1138"/>
      <c r="BT82" s="1138"/>
      <c r="BU82" s="1138"/>
      <c r="BV82" s="1138"/>
      <c r="BW82" s="1138"/>
      <c r="BX82" s="1138"/>
      <c r="BY82" s="1138"/>
      <c r="BZ82" s="1138"/>
      <c r="CA82" s="1138"/>
      <c r="CB82" s="1138"/>
    </row>
    <row r="83" spans="1:80" x14ac:dyDescent="0.3">
      <c r="B83" s="1002">
        <v>294</v>
      </c>
      <c r="C83" s="269" t="s">
        <v>918</v>
      </c>
      <c r="D83" s="269" t="s">
        <v>397</v>
      </c>
      <c r="E83" s="1138"/>
      <c r="F83" s="1138"/>
      <c r="G83" s="1138"/>
      <c r="H83" s="1138"/>
      <c r="I83" s="1138"/>
      <c r="J83" s="1138"/>
      <c r="K83" s="1138"/>
      <c r="L83" s="1138"/>
      <c r="M83" s="1138"/>
      <c r="N83" s="1138"/>
      <c r="O83" s="1138"/>
      <c r="P83" s="1138"/>
      <c r="Q83" s="1138"/>
      <c r="R83" s="1138"/>
      <c r="S83" s="1138"/>
      <c r="T83" s="1138"/>
      <c r="U83" s="1138"/>
      <c r="V83" s="1138"/>
      <c r="W83" s="1138"/>
      <c r="X83" s="1138"/>
      <c r="Y83" s="1138"/>
      <c r="Z83" s="1138"/>
      <c r="AA83" s="1138"/>
      <c r="AB83" s="1138"/>
      <c r="AC83" s="1138"/>
      <c r="AD83" s="1138"/>
      <c r="AE83" s="1138"/>
      <c r="AF83" s="1138"/>
      <c r="AG83" s="1138"/>
      <c r="AH83" s="1138"/>
      <c r="AI83" s="1138"/>
      <c r="AJ83" s="1138"/>
      <c r="AK83" s="1138"/>
      <c r="AL83" s="1138"/>
      <c r="AM83" s="1138"/>
      <c r="AN83" s="1138"/>
      <c r="AO83" s="1138"/>
      <c r="AP83" s="1138"/>
      <c r="AQ83" s="1138"/>
      <c r="AR83" s="1138"/>
      <c r="AS83" s="1138"/>
      <c r="AT83" s="1138"/>
      <c r="AU83" s="1138"/>
      <c r="AV83" s="1138"/>
      <c r="AW83" s="1138"/>
      <c r="AX83" s="1138"/>
      <c r="AY83" s="1138"/>
      <c r="AZ83" s="1138"/>
      <c r="BA83" s="1138"/>
      <c r="BB83" s="1138"/>
      <c r="BC83" s="1138"/>
      <c r="BD83" s="1138"/>
      <c r="BE83" s="1138"/>
      <c r="BF83" s="1138"/>
      <c r="BG83" s="1138"/>
      <c r="BH83" s="1138"/>
      <c r="BI83" s="1138"/>
      <c r="BJ83" s="1138"/>
      <c r="BK83" s="1138"/>
      <c r="BL83" s="1138"/>
      <c r="BM83" s="1138"/>
      <c r="BN83" s="1138"/>
      <c r="BO83" s="1138"/>
      <c r="BP83" s="1138"/>
      <c r="BQ83" s="1138"/>
      <c r="BR83" s="1138"/>
      <c r="BS83" s="1138"/>
      <c r="BT83" s="1138"/>
      <c r="BU83" s="1138"/>
      <c r="BV83" s="1138"/>
      <c r="BW83" s="1138"/>
      <c r="BX83" s="1138"/>
      <c r="BY83" s="1138"/>
      <c r="BZ83" s="1138"/>
      <c r="CA83" s="1138"/>
      <c r="CB83" s="1138"/>
    </row>
    <row r="84" spans="1:80" x14ac:dyDescent="0.3">
      <c r="B84" s="1002">
        <v>314</v>
      </c>
      <c r="C84" s="269" t="s">
        <v>398</v>
      </c>
      <c r="D84" s="269" t="s">
        <v>399</v>
      </c>
      <c r="E84" s="1138"/>
      <c r="F84" s="1138"/>
      <c r="G84" s="1138"/>
      <c r="H84" s="1138"/>
      <c r="I84" s="1138"/>
      <c r="J84" s="1138"/>
      <c r="K84" s="1138"/>
      <c r="L84" s="1138"/>
      <c r="M84" s="1138"/>
      <c r="N84" s="1138"/>
      <c r="O84" s="1138"/>
      <c r="P84" s="1138"/>
      <c r="Q84" s="1138"/>
      <c r="R84" s="1138"/>
      <c r="S84" s="1138"/>
      <c r="T84" s="1138"/>
      <c r="U84" s="1138"/>
      <c r="V84" s="1138"/>
      <c r="W84" s="1138"/>
      <c r="X84" s="1138"/>
      <c r="Y84" s="1138"/>
      <c r="Z84" s="1138"/>
      <c r="AA84" s="1138"/>
      <c r="AB84" s="1138"/>
      <c r="AC84" s="1138"/>
      <c r="AD84" s="1138"/>
      <c r="AE84" s="1138"/>
      <c r="AF84" s="1138"/>
      <c r="AG84" s="1138"/>
      <c r="AH84" s="1138"/>
      <c r="AI84" s="1138"/>
      <c r="AJ84" s="1138"/>
      <c r="AK84" s="1138"/>
      <c r="AL84" s="1138"/>
      <c r="AM84" s="1138"/>
      <c r="AN84" s="1138"/>
      <c r="AO84" s="1138"/>
      <c r="AP84" s="1138"/>
      <c r="AQ84" s="1138"/>
      <c r="AR84" s="1138"/>
      <c r="AS84" s="1138"/>
      <c r="AT84" s="1138"/>
      <c r="AU84" s="1138"/>
      <c r="AV84" s="1138"/>
      <c r="AW84" s="1138"/>
      <c r="AX84" s="1138"/>
      <c r="AY84" s="1138"/>
      <c r="AZ84" s="1138"/>
      <c r="BA84" s="1138"/>
      <c r="BB84" s="1138"/>
      <c r="BC84" s="1138"/>
      <c r="BD84" s="1138"/>
      <c r="BE84" s="1138"/>
      <c r="BF84" s="1138"/>
      <c r="BG84" s="1138"/>
      <c r="BH84" s="1138"/>
      <c r="BI84" s="1138"/>
      <c r="BJ84" s="1138"/>
      <c r="BK84" s="1138"/>
      <c r="BL84" s="1138"/>
      <c r="BM84" s="1138"/>
      <c r="BN84" s="1138"/>
      <c r="BO84" s="1138"/>
      <c r="BP84" s="1138"/>
      <c r="BQ84" s="1138"/>
      <c r="BR84" s="1138"/>
      <c r="BS84" s="1138"/>
      <c r="BT84" s="1138"/>
      <c r="BU84" s="1138"/>
      <c r="BV84" s="1138"/>
      <c r="BW84" s="1138"/>
      <c r="BX84" s="1138"/>
      <c r="BY84" s="1138"/>
      <c r="BZ84" s="1138"/>
      <c r="CA84" s="1138"/>
      <c r="CB84" s="1138"/>
    </row>
    <row r="85" spans="1:80" x14ac:dyDescent="0.3">
      <c r="B85" s="1002">
        <v>315</v>
      </c>
      <c r="C85" s="269" t="s">
        <v>400</v>
      </c>
      <c r="D85" s="269" t="s">
        <v>401</v>
      </c>
      <c r="E85" s="1138"/>
      <c r="F85" s="1138"/>
      <c r="G85" s="1138"/>
      <c r="H85" s="1138"/>
      <c r="I85" s="1138"/>
      <c r="J85" s="1138"/>
      <c r="K85" s="1138"/>
      <c r="L85" s="1138"/>
      <c r="M85" s="1138"/>
      <c r="N85" s="1138"/>
      <c r="O85" s="1138"/>
      <c r="P85" s="1138"/>
      <c r="Q85" s="1138"/>
      <c r="R85" s="1138"/>
      <c r="S85" s="1138"/>
      <c r="T85" s="1138"/>
      <c r="U85" s="1138"/>
      <c r="V85" s="1138"/>
      <c r="W85" s="1138"/>
      <c r="X85" s="1138"/>
      <c r="Y85" s="1138"/>
      <c r="Z85" s="1138"/>
      <c r="AA85" s="1138"/>
      <c r="AB85" s="1138"/>
      <c r="AC85" s="1138"/>
      <c r="AD85" s="1138"/>
      <c r="AE85" s="1138"/>
      <c r="AF85" s="1138"/>
      <c r="AG85" s="1138"/>
      <c r="AH85" s="1138"/>
      <c r="AI85" s="1138"/>
      <c r="AJ85" s="1138"/>
      <c r="AK85" s="1138"/>
      <c r="AL85" s="1138"/>
      <c r="AM85" s="1138"/>
      <c r="AN85" s="1138"/>
      <c r="AO85" s="1138"/>
      <c r="AP85" s="1138"/>
      <c r="AQ85" s="1138"/>
      <c r="AR85" s="1138"/>
      <c r="AS85" s="1138"/>
      <c r="AT85" s="1138"/>
      <c r="AU85" s="1138"/>
      <c r="AV85" s="1138"/>
      <c r="AW85" s="1138"/>
      <c r="AX85" s="1138"/>
      <c r="AY85" s="1138"/>
      <c r="AZ85" s="1138"/>
      <c r="BA85" s="1138"/>
      <c r="BB85" s="1138"/>
      <c r="BC85" s="1138"/>
      <c r="BD85" s="1138"/>
      <c r="BE85" s="1138"/>
      <c r="BF85" s="1138"/>
      <c r="BG85" s="1138"/>
      <c r="BH85" s="1138"/>
      <c r="BI85" s="1138"/>
      <c r="BJ85" s="1138"/>
      <c r="BK85" s="1138"/>
      <c r="BL85" s="1138"/>
      <c r="BM85" s="1138"/>
      <c r="BN85" s="1138"/>
      <c r="BO85" s="1138"/>
      <c r="BP85" s="1138"/>
      <c r="BQ85" s="1138"/>
      <c r="BR85" s="1138"/>
      <c r="BS85" s="1138"/>
      <c r="BT85" s="1138"/>
      <c r="BU85" s="1138"/>
      <c r="BV85" s="1138"/>
      <c r="BW85" s="1138"/>
      <c r="BX85" s="1138"/>
      <c r="BY85" s="1138"/>
      <c r="BZ85" s="1138"/>
      <c r="CA85" s="1138"/>
      <c r="CB85" s="1138"/>
    </row>
    <row r="86" spans="1:80" x14ac:dyDescent="0.3">
      <c r="B86" s="1002">
        <v>316</v>
      </c>
      <c r="C86" s="269" t="s">
        <v>402</v>
      </c>
      <c r="D86" s="269" t="s">
        <v>403</v>
      </c>
      <c r="E86" s="1138"/>
      <c r="F86" s="1138"/>
      <c r="G86" s="1138"/>
      <c r="H86" s="1138"/>
      <c r="I86" s="1138"/>
      <c r="J86" s="1138"/>
      <c r="K86" s="1138"/>
      <c r="L86" s="1138"/>
      <c r="M86" s="1138"/>
      <c r="N86" s="1138"/>
      <c r="O86" s="1138"/>
      <c r="P86" s="1138"/>
      <c r="Q86" s="1138"/>
      <c r="R86" s="1138"/>
      <c r="S86" s="1138"/>
      <c r="T86" s="1138"/>
      <c r="U86" s="1138"/>
      <c r="V86" s="1138"/>
      <c r="W86" s="1138"/>
      <c r="X86" s="1138"/>
      <c r="Y86" s="1138"/>
      <c r="Z86" s="1138"/>
      <c r="AA86" s="1138"/>
      <c r="AB86" s="1138"/>
      <c r="AC86" s="1138"/>
      <c r="AD86" s="1138"/>
      <c r="AE86" s="1138"/>
      <c r="AF86" s="1138"/>
      <c r="AG86" s="1138"/>
      <c r="AH86" s="1138"/>
      <c r="AI86" s="1138"/>
      <c r="AJ86" s="1138"/>
      <c r="AK86" s="1138"/>
      <c r="AL86" s="1138"/>
      <c r="AM86" s="1138"/>
      <c r="AN86" s="1138"/>
      <c r="AO86" s="1138"/>
      <c r="AP86" s="1138"/>
      <c r="AQ86" s="1138"/>
      <c r="AR86" s="1138"/>
      <c r="AS86" s="1138"/>
      <c r="AT86" s="1138"/>
      <c r="AU86" s="1138"/>
      <c r="AV86" s="1138"/>
      <c r="AW86" s="1138"/>
      <c r="AX86" s="1138"/>
      <c r="AY86" s="1138"/>
      <c r="AZ86" s="1138"/>
      <c r="BA86" s="1138"/>
      <c r="BB86" s="1138"/>
      <c r="BC86" s="1138"/>
      <c r="BD86" s="1138"/>
      <c r="BE86" s="1138"/>
      <c r="BF86" s="1138"/>
      <c r="BG86" s="1138"/>
      <c r="BH86" s="1138"/>
      <c r="BI86" s="1138"/>
      <c r="BJ86" s="1138"/>
      <c r="BK86" s="1138"/>
      <c r="BL86" s="1138"/>
      <c r="BM86" s="1138"/>
      <c r="BN86" s="1138"/>
      <c r="BO86" s="1138"/>
      <c r="BP86" s="1138"/>
      <c r="BQ86" s="1138"/>
      <c r="BR86" s="1138"/>
      <c r="BS86" s="1138"/>
      <c r="BT86" s="1138"/>
      <c r="BU86" s="1138"/>
      <c r="BV86" s="1138"/>
      <c r="BW86" s="1138"/>
      <c r="BX86" s="1138"/>
      <c r="BY86" s="1138"/>
      <c r="BZ86" s="1138"/>
      <c r="CA86" s="1138"/>
      <c r="CB86" s="1138"/>
    </row>
    <row r="87" spans="1:80" x14ac:dyDescent="0.3">
      <c r="B87" s="1002">
        <v>320</v>
      </c>
      <c r="C87" s="269" t="s">
        <v>258</v>
      </c>
      <c r="D87" s="269" t="s">
        <v>404</v>
      </c>
      <c r="E87" s="1138"/>
      <c r="F87" s="1138"/>
      <c r="G87" s="1138"/>
      <c r="H87" s="1138"/>
      <c r="I87" s="1138"/>
      <c r="J87" s="1138"/>
      <c r="K87" s="1138"/>
      <c r="L87" s="1138"/>
      <c r="M87" s="1138"/>
      <c r="N87" s="1138"/>
      <c r="O87" s="1138"/>
      <c r="P87" s="1138"/>
      <c r="Q87" s="1138"/>
      <c r="R87" s="1138"/>
      <c r="S87" s="1138"/>
      <c r="T87" s="1138"/>
      <c r="U87" s="1138"/>
      <c r="V87" s="1138"/>
      <c r="W87" s="1138"/>
      <c r="X87" s="1138"/>
      <c r="Y87" s="1138"/>
      <c r="Z87" s="1138"/>
      <c r="AA87" s="1138"/>
      <c r="AB87" s="1138"/>
      <c r="AC87" s="1138"/>
      <c r="AD87" s="1138"/>
      <c r="AE87" s="1138"/>
      <c r="AF87" s="1138"/>
      <c r="AG87" s="1138"/>
      <c r="AH87" s="1138"/>
      <c r="AI87" s="1138"/>
      <c r="AJ87" s="1138"/>
      <c r="AK87" s="1138"/>
      <c r="AL87" s="1138"/>
      <c r="AM87" s="1138"/>
      <c r="AN87" s="1138"/>
      <c r="AO87" s="1138"/>
      <c r="AP87" s="1138"/>
      <c r="AQ87" s="1138"/>
      <c r="AR87" s="1138"/>
      <c r="AS87" s="1138"/>
      <c r="AT87" s="1138"/>
      <c r="AU87" s="1138"/>
      <c r="AV87" s="1138"/>
      <c r="AW87" s="1138"/>
      <c r="AX87" s="1138"/>
      <c r="AY87" s="1138"/>
      <c r="AZ87" s="1138"/>
      <c r="BA87" s="1138"/>
      <c r="BB87" s="1138"/>
      <c r="BC87" s="1138"/>
      <c r="BD87" s="1138"/>
      <c r="BE87" s="1138"/>
      <c r="BF87" s="1138"/>
      <c r="BG87" s="1138"/>
      <c r="BH87" s="1138"/>
      <c r="BI87" s="1138"/>
      <c r="BJ87" s="1138"/>
      <c r="BK87" s="1138"/>
      <c r="BL87" s="1138"/>
      <c r="BM87" s="1138"/>
      <c r="BN87" s="1138"/>
      <c r="BO87" s="1138"/>
      <c r="BP87" s="1138"/>
      <c r="BQ87" s="1138"/>
      <c r="BR87" s="1138"/>
      <c r="BS87" s="1138"/>
      <c r="BT87" s="1138"/>
      <c r="BU87" s="1138"/>
      <c r="BV87" s="1138"/>
      <c r="BW87" s="1138"/>
      <c r="BX87" s="1138"/>
      <c r="BY87" s="1138"/>
      <c r="BZ87" s="1138"/>
      <c r="CA87" s="1138"/>
      <c r="CB87" s="1138"/>
    </row>
    <row r="88" spans="1:80" x14ac:dyDescent="0.3">
      <c r="B88" s="1002">
        <v>321</v>
      </c>
      <c r="C88" s="269" t="s">
        <v>919</v>
      </c>
      <c r="D88" s="269" t="s">
        <v>405</v>
      </c>
      <c r="E88" s="1138"/>
      <c r="F88" s="1138"/>
      <c r="G88" s="1138"/>
      <c r="H88" s="1138"/>
      <c r="I88" s="1138"/>
      <c r="J88" s="1138"/>
      <c r="K88" s="1138"/>
      <c r="L88" s="1138"/>
      <c r="M88" s="1138"/>
      <c r="N88" s="1138"/>
      <c r="O88" s="1138"/>
      <c r="P88" s="1138"/>
      <c r="Q88" s="1138"/>
      <c r="R88" s="1138"/>
      <c r="S88" s="1138"/>
      <c r="T88" s="1138"/>
      <c r="U88" s="1138"/>
      <c r="V88" s="1138"/>
      <c r="W88" s="1138"/>
      <c r="X88" s="1138"/>
      <c r="Y88" s="1138"/>
      <c r="Z88" s="1138"/>
      <c r="AA88" s="1138"/>
      <c r="AB88" s="1138"/>
      <c r="AC88" s="1138"/>
      <c r="AD88" s="1138"/>
      <c r="AE88" s="1138"/>
      <c r="AF88" s="1138"/>
      <c r="AG88" s="1138"/>
      <c r="AH88" s="1138"/>
      <c r="AI88" s="1138"/>
      <c r="AJ88" s="1138"/>
      <c r="AK88" s="1138"/>
      <c r="AL88" s="1138"/>
      <c r="AM88" s="1138"/>
      <c r="AN88" s="1138"/>
      <c r="AO88" s="1138"/>
      <c r="AP88" s="1138"/>
      <c r="AQ88" s="1138"/>
      <c r="AR88" s="1138"/>
      <c r="AS88" s="1138"/>
      <c r="AT88" s="1138"/>
      <c r="AU88" s="1138"/>
      <c r="AV88" s="1138"/>
      <c r="AW88" s="1138"/>
      <c r="AX88" s="1138"/>
      <c r="AY88" s="1138"/>
      <c r="AZ88" s="1138"/>
      <c r="BA88" s="1138"/>
      <c r="BB88" s="1138"/>
      <c r="BC88" s="1138"/>
      <c r="BD88" s="1138"/>
      <c r="BE88" s="1138"/>
      <c r="BF88" s="1138"/>
      <c r="BG88" s="1138"/>
      <c r="BH88" s="1138"/>
      <c r="BI88" s="1138"/>
      <c r="BJ88" s="1138"/>
      <c r="BK88" s="1138"/>
      <c r="BL88" s="1138"/>
      <c r="BM88" s="1138"/>
      <c r="BN88" s="1138"/>
      <c r="BO88" s="1138"/>
      <c r="BP88" s="1138"/>
      <c r="BQ88" s="1138"/>
      <c r="BR88" s="1138"/>
      <c r="BS88" s="1138"/>
      <c r="BT88" s="1138"/>
      <c r="BU88" s="1138"/>
      <c r="BV88" s="1138"/>
      <c r="BW88" s="1138"/>
      <c r="BX88" s="1138"/>
      <c r="BY88" s="1138"/>
      <c r="BZ88" s="1138"/>
      <c r="CA88" s="1138"/>
      <c r="CB88" s="1138"/>
    </row>
    <row r="89" spans="1:80" x14ac:dyDescent="0.3">
      <c r="B89" s="1002">
        <v>322</v>
      </c>
      <c r="C89" s="269" t="s">
        <v>260</v>
      </c>
      <c r="D89" s="269" t="s">
        <v>406</v>
      </c>
      <c r="E89" s="1138"/>
      <c r="F89" s="1138"/>
      <c r="G89" s="1138"/>
      <c r="H89" s="1138"/>
      <c r="I89" s="1138"/>
      <c r="J89" s="1138"/>
      <c r="K89" s="1138"/>
      <c r="L89" s="1138"/>
      <c r="M89" s="1138"/>
      <c r="N89" s="1138"/>
      <c r="O89" s="1138"/>
      <c r="P89" s="1138"/>
      <c r="Q89" s="1138"/>
      <c r="R89" s="1138"/>
      <c r="S89" s="1138"/>
      <c r="T89" s="1138"/>
      <c r="U89" s="1138"/>
      <c r="V89" s="1138"/>
      <c r="W89" s="1138"/>
      <c r="X89" s="1138"/>
      <c r="Y89" s="1138"/>
      <c r="Z89" s="1138"/>
      <c r="AA89" s="1138"/>
      <c r="AB89" s="1138"/>
      <c r="AC89" s="1138"/>
      <c r="AD89" s="1138"/>
      <c r="AE89" s="1138"/>
      <c r="AF89" s="1138"/>
      <c r="AG89" s="1138"/>
      <c r="AH89" s="1138"/>
      <c r="AI89" s="1138"/>
      <c r="AJ89" s="1138"/>
      <c r="AK89" s="1138"/>
      <c r="AL89" s="1138"/>
      <c r="AM89" s="1138"/>
      <c r="AN89" s="1138"/>
      <c r="AO89" s="1138"/>
      <c r="AP89" s="1138"/>
      <c r="AQ89" s="1138"/>
      <c r="AR89" s="1138"/>
      <c r="AS89" s="1138"/>
      <c r="AT89" s="1138"/>
      <c r="AU89" s="1138"/>
      <c r="AV89" s="1138"/>
      <c r="AW89" s="1138"/>
      <c r="AX89" s="1138"/>
      <c r="AY89" s="1138"/>
      <c r="AZ89" s="1138"/>
      <c r="BA89" s="1138"/>
      <c r="BB89" s="1138"/>
      <c r="BC89" s="1138"/>
      <c r="BD89" s="1138"/>
      <c r="BE89" s="1138"/>
      <c r="BF89" s="1138"/>
      <c r="BG89" s="1138"/>
      <c r="BH89" s="1138"/>
      <c r="BI89" s="1138"/>
      <c r="BJ89" s="1138"/>
      <c r="BK89" s="1138"/>
      <c r="BL89" s="1138"/>
      <c r="BM89" s="1138"/>
      <c r="BN89" s="1138"/>
      <c r="BO89" s="1138"/>
      <c r="BP89" s="1138"/>
      <c r="BQ89" s="1138"/>
      <c r="BR89" s="1138"/>
      <c r="BS89" s="1138"/>
      <c r="BT89" s="1138"/>
      <c r="BU89" s="1138"/>
      <c r="BV89" s="1138"/>
      <c r="BW89" s="1138"/>
      <c r="BX89" s="1138"/>
      <c r="BY89" s="1138"/>
      <c r="BZ89" s="1138"/>
      <c r="CA89" s="1138"/>
      <c r="CB89" s="1138"/>
    </row>
    <row r="90" spans="1:80" x14ac:dyDescent="0.3">
      <c r="B90" s="1002">
        <v>323</v>
      </c>
      <c r="C90" s="269" t="s">
        <v>259</v>
      </c>
      <c r="D90" s="269" t="s">
        <v>407</v>
      </c>
      <c r="E90" s="1138"/>
      <c r="F90" s="1138"/>
      <c r="G90" s="1138"/>
      <c r="H90" s="1138"/>
      <c r="I90" s="1138"/>
      <c r="J90" s="1138"/>
      <c r="K90" s="1138"/>
      <c r="L90" s="1138"/>
      <c r="M90" s="1138"/>
      <c r="N90" s="1138"/>
      <c r="O90" s="1138"/>
      <c r="P90" s="1138"/>
      <c r="Q90" s="1138"/>
      <c r="R90" s="1138"/>
      <c r="S90" s="1138"/>
      <c r="T90" s="1138"/>
      <c r="U90" s="1138"/>
      <c r="V90" s="1138"/>
      <c r="W90" s="1138"/>
      <c r="X90" s="1138"/>
      <c r="Y90" s="1138"/>
      <c r="Z90" s="1138"/>
      <c r="AA90" s="1138"/>
      <c r="AB90" s="1138"/>
      <c r="AC90" s="1138"/>
      <c r="AD90" s="1138"/>
      <c r="AE90" s="1138"/>
      <c r="AF90" s="1138"/>
      <c r="AG90" s="1138"/>
      <c r="AH90" s="1138"/>
      <c r="AI90" s="1138"/>
      <c r="AJ90" s="1138"/>
      <c r="AK90" s="1138"/>
      <c r="AL90" s="1138"/>
      <c r="AM90" s="1138"/>
      <c r="AN90" s="1138"/>
      <c r="AO90" s="1138"/>
      <c r="AP90" s="1138"/>
      <c r="AQ90" s="1138"/>
      <c r="AR90" s="1138"/>
      <c r="AS90" s="1138"/>
      <c r="AT90" s="1138"/>
      <c r="AU90" s="1138"/>
      <c r="AV90" s="1138"/>
      <c r="AW90" s="1138"/>
      <c r="AX90" s="1138"/>
      <c r="AY90" s="1138"/>
      <c r="AZ90" s="1138"/>
      <c r="BA90" s="1138"/>
      <c r="BB90" s="1138"/>
      <c r="BC90" s="1138"/>
      <c r="BD90" s="1138"/>
      <c r="BE90" s="1138"/>
      <c r="BF90" s="1138"/>
      <c r="BG90" s="1138"/>
      <c r="BH90" s="1138"/>
      <c r="BI90" s="1138"/>
      <c r="BJ90" s="1138"/>
      <c r="BK90" s="1138"/>
      <c r="BL90" s="1138"/>
      <c r="BM90" s="1138"/>
      <c r="BN90" s="1138"/>
      <c r="BO90" s="1138"/>
      <c r="BP90" s="1138"/>
      <c r="BQ90" s="1138"/>
      <c r="BR90" s="1138"/>
      <c r="BS90" s="1138"/>
      <c r="BT90" s="1138"/>
      <c r="BU90" s="1138"/>
      <c r="BV90" s="1138"/>
      <c r="BW90" s="1138"/>
      <c r="BX90" s="1138"/>
      <c r="BY90" s="1138"/>
      <c r="BZ90" s="1138"/>
      <c r="CA90" s="1138"/>
      <c r="CB90" s="1138"/>
    </row>
    <row r="91" spans="1:80" x14ac:dyDescent="0.3">
      <c r="B91" s="1002">
        <v>324</v>
      </c>
      <c r="C91" s="269" t="s">
        <v>257</v>
      </c>
      <c r="D91" s="269" t="s">
        <v>408</v>
      </c>
      <c r="E91" s="1138"/>
      <c r="F91" s="1138"/>
      <c r="G91" s="1138"/>
      <c r="H91" s="1138"/>
      <c r="I91" s="1138"/>
      <c r="J91" s="1138"/>
      <c r="K91" s="1138"/>
      <c r="L91" s="1138"/>
      <c r="M91" s="1138"/>
      <c r="N91" s="1138"/>
      <c r="O91" s="1138"/>
      <c r="P91" s="1138"/>
      <c r="Q91" s="1138"/>
      <c r="R91" s="1138"/>
      <c r="S91" s="1138"/>
      <c r="T91" s="1138"/>
      <c r="U91" s="1138"/>
      <c r="V91" s="1138"/>
      <c r="W91" s="1138"/>
      <c r="X91" s="1138"/>
      <c r="Y91" s="1138"/>
      <c r="Z91" s="1138"/>
      <c r="AA91" s="1138"/>
      <c r="AB91" s="1138"/>
      <c r="AC91" s="1138"/>
      <c r="AD91" s="1138"/>
      <c r="AE91" s="1138"/>
      <c r="AF91" s="1138"/>
      <c r="AG91" s="1138"/>
      <c r="AH91" s="1138"/>
      <c r="AI91" s="1138"/>
      <c r="AJ91" s="1138"/>
      <c r="AK91" s="1138"/>
      <c r="AL91" s="1138"/>
      <c r="AM91" s="1138"/>
      <c r="AN91" s="1138"/>
      <c r="AO91" s="1138"/>
      <c r="AP91" s="1138"/>
      <c r="AQ91" s="1138"/>
      <c r="AR91" s="1138"/>
      <c r="AS91" s="1138"/>
      <c r="AT91" s="1138"/>
      <c r="AU91" s="1138"/>
      <c r="AV91" s="1138"/>
      <c r="AW91" s="1138"/>
      <c r="AX91" s="1138"/>
      <c r="AY91" s="1138"/>
      <c r="AZ91" s="1138"/>
      <c r="BA91" s="1138"/>
      <c r="BB91" s="1138"/>
      <c r="BC91" s="1138"/>
      <c r="BD91" s="1138"/>
      <c r="BE91" s="1138"/>
      <c r="BF91" s="1138"/>
      <c r="BG91" s="1138"/>
      <c r="BH91" s="1138"/>
      <c r="BI91" s="1138"/>
      <c r="BJ91" s="1138"/>
      <c r="BK91" s="1138"/>
      <c r="BL91" s="1138"/>
      <c r="BM91" s="1138"/>
      <c r="BN91" s="1138"/>
      <c r="BO91" s="1138"/>
      <c r="BP91" s="1138"/>
      <c r="BQ91" s="1138"/>
      <c r="BR91" s="1138"/>
      <c r="BS91" s="1138"/>
      <c r="BT91" s="1138"/>
      <c r="BU91" s="1138"/>
      <c r="BV91" s="1138"/>
      <c r="BW91" s="1138"/>
      <c r="BX91" s="1138"/>
      <c r="BY91" s="1138"/>
      <c r="BZ91" s="1138"/>
      <c r="CA91" s="1138"/>
      <c r="CB91" s="1138"/>
    </row>
    <row r="92" spans="1:80" x14ac:dyDescent="0.3">
      <c r="B92" s="1002">
        <v>325</v>
      </c>
      <c r="C92" s="269" t="s">
        <v>261</v>
      </c>
      <c r="D92" s="269" t="s">
        <v>409</v>
      </c>
      <c r="E92" s="1139"/>
      <c r="F92" s="1139"/>
      <c r="G92" s="1139"/>
      <c r="H92" s="1139"/>
      <c r="I92" s="1139"/>
      <c r="J92" s="1139"/>
      <c r="K92" s="1139"/>
      <c r="L92" s="1139"/>
      <c r="M92" s="1139"/>
      <c r="N92" s="1139"/>
      <c r="O92" s="1139"/>
      <c r="P92" s="1139"/>
      <c r="Q92" s="1139"/>
      <c r="R92" s="1139"/>
      <c r="S92" s="1139"/>
      <c r="T92" s="1139"/>
      <c r="U92" s="1139"/>
      <c r="V92" s="1139"/>
      <c r="W92" s="1139"/>
      <c r="X92" s="1139"/>
      <c r="Y92" s="1139"/>
      <c r="Z92" s="1139"/>
      <c r="AA92" s="1139"/>
      <c r="AB92" s="1139"/>
      <c r="AC92" s="1139"/>
      <c r="AD92" s="1139"/>
      <c r="AE92" s="1139"/>
      <c r="AF92" s="1139"/>
      <c r="AG92" s="1139"/>
      <c r="AH92" s="1139"/>
      <c r="AI92" s="1139"/>
      <c r="AJ92" s="1139"/>
      <c r="AK92" s="1139"/>
      <c r="AL92" s="1139"/>
      <c r="AM92" s="1139"/>
      <c r="AN92" s="1139"/>
      <c r="AO92" s="1139"/>
      <c r="AP92" s="1139"/>
      <c r="AQ92" s="1139"/>
      <c r="AR92" s="1139"/>
      <c r="AS92" s="1139"/>
      <c r="AT92" s="1139"/>
      <c r="AU92" s="1139"/>
      <c r="AV92" s="1139"/>
      <c r="AW92" s="1139"/>
      <c r="AX92" s="1139"/>
      <c r="AY92" s="1139"/>
      <c r="AZ92" s="1139"/>
      <c r="BA92" s="1139"/>
      <c r="BB92" s="1139"/>
      <c r="BC92" s="1139"/>
      <c r="BD92" s="1139"/>
      <c r="BE92" s="1139"/>
      <c r="BF92" s="1139"/>
      <c r="BG92" s="1139"/>
      <c r="BH92" s="1139"/>
      <c r="BI92" s="1139"/>
      <c r="BJ92" s="1139"/>
      <c r="BK92" s="1139"/>
      <c r="BL92" s="1139"/>
      <c r="BM92" s="1139"/>
      <c r="BN92" s="1139"/>
      <c r="BO92" s="1139"/>
      <c r="BP92" s="1139"/>
      <c r="BQ92" s="1139"/>
      <c r="BR92" s="1139"/>
      <c r="BS92" s="1139"/>
      <c r="BT92" s="1139"/>
      <c r="BU92" s="1139"/>
      <c r="BV92" s="1139"/>
      <c r="BW92" s="1139"/>
      <c r="BX92" s="1139"/>
      <c r="BY92" s="1139"/>
      <c r="BZ92" s="1139"/>
      <c r="CA92" s="1139"/>
      <c r="CB92" s="1139"/>
    </row>
    <row r="93" spans="1:80" x14ac:dyDescent="0.3">
      <c r="B93" s="1002">
        <v>326</v>
      </c>
      <c r="C93" s="269" t="s">
        <v>705</v>
      </c>
      <c r="D93" s="269" t="s">
        <v>410</v>
      </c>
      <c r="E93" s="1138"/>
      <c r="F93" s="1138"/>
      <c r="G93" s="1138"/>
      <c r="H93" s="1138"/>
      <c r="I93" s="1138"/>
      <c r="J93" s="1138"/>
      <c r="K93" s="1138"/>
      <c r="L93" s="1138"/>
      <c r="M93" s="1138"/>
      <c r="N93" s="1138"/>
      <c r="O93" s="1138"/>
      <c r="P93" s="1138"/>
      <c r="Q93" s="1138"/>
      <c r="R93" s="1138"/>
      <c r="S93" s="1138"/>
      <c r="T93" s="1138"/>
      <c r="U93" s="1138"/>
      <c r="V93" s="1138"/>
      <c r="W93" s="1138"/>
      <c r="X93" s="1138"/>
      <c r="Y93" s="1138"/>
      <c r="Z93" s="1138"/>
      <c r="AA93" s="1138"/>
      <c r="AB93" s="1138"/>
      <c r="AC93" s="1138"/>
      <c r="AD93" s="1138"/>
      <c r="AE93" s="1138"/>
      <c r="AF93" s="1138"/>
      <c r="AG93" s="1138"/>
      <c r="AH93" s="1138"/>
      <c r="AI93" s="1138"/>
      <c r="AJ93" s="1138"/>
      <c r="AK93" s="1138"/>
      <c r="AL93" s="1138"/>
      <c r="AM93" s="1138"/>
      <c r="AN93" s="1138"/>
      <c r="AO93" s="1138"/>
      <c r="AP93" s="1138"/>
      <c r="AQ93" s="1138"/>
      <c r="AR93" s="1138"/>
      <c r="AS93" s="1138"/>
      <c r="AT93" s="1138"/>
      <c r="AU93" s="1138"/>
      <c r="AV93" s="1138"/>
      <c r="AW93" s="1138"/>
      <c r="AX93" s="1138"/>
      <c r="AY93" s="1138"/>
      <c r="AZ93" s="1138"/>
      <c r="BA93" s="1138"/>
      <c r="BB93" s="1138"/>
      <c r="BC93" s="1138"/>
      <c r="BD93" s="1138"/>
      <c r="BE93" s="1138"/>
      <c r="BF93" s="1138"/>
      <c r="BG93" s="1138"/>
      <c r="BH93" s="1138"/>
      <c r="BI93" s="1138"/>
      <c r="BJ93" s="1138"/>
      <c r="BK93" s="1138"/>
      <c r="BL93" s="1138"/>
      <c r="BM93" s="1138"/>
      <c r="BN93" s="1138"/>
      <c r="BO93" s="1138"/>
      <c r="BP93" s="1138"/>
      <c r="BQ93" s="1138"/>
      <c r="BR93" s="1138"/>
      <c r="BS93" s="1138"/>
      <c r="BT93" s="1138"/>
      <c r="BU93" s="1138"/>
      <c r="BV93" s="1138"/>
      <c r="BW93" s="1138"/>
      <c r="BX93" s="1138"/>
      <c r="BY93" s="1138"/>
      <c r="BZ93" s="1138"/>
      <c r="CA93" s="1138"/>
      <c r="CB93" s="1138"/>
    </row>
    <row r="94" spans="1:80" x14ac:dyDescent="0.3">
      <c r="A94" s="269">
        <v>327</v>
      </c>
      <c r="B94" s="1002">
        <v>327</v>
      </c>
      <c r="C94" s="269" t="s">
        <v>635</v>
      </c>
      <c r="D94" s="269" t="s">
        <v>411</v>
      </c>
      <c r="E94" s="1138">
        <v>0</v>
      </c>
      <c r="F94" s="1138">
        <v>0</v>
      </c>
      <c r="G94" s="1138">
        <v>0</v>
      </c>
      <c r="H94" s="1138">
        <v>5287537</v>
      </c>
      <c r="I94" s="1138">
        <v>0</v>
      </c>
      <c r="J94" s="1138">
        <v>16104</v>
      </c>
      <c r="K94" s="1138">
        <v>215245</v>
      </c>
      <c r="L94" s="1138">
        <v>72530</v>
      </c>
      <c r="M94" s="1138">
        <v>839066</v>
      </c>
      <c r="N94" s="1138">
        <v>0</v>
      </c>
      <c r="O94" s="1138">
        <v>6500</v>
      </c>
      <c r="P94" s="1138">
        <v>28000</v>
      </c>
      <c r="Q94" s="1138">
        <v>0</v>
      </c>
      <c r="R94" s="1138">
        <v>1209496</v>
      </c>
      <c r="S94" s="1138">
        <v>628152</v>
      </c>
      <c r="T94" s="1138">
        <v>7174055</v>
      </c>
      <c r="U94" s="1138">
        <v>0</v>
      </c>
      <c r="V94" s="1138">
        <v>1020263</v>
      </c>
      <c r="W94" s="1138">
        <v>0</v>
      </c>
      <c r="X94" s="1138">
        <v>0</v>
      </c>
      <c r="Y94" s="1138">
        <v>0</v>
      </c>
      <c r="Z94" s="1138">
        <v>20697</v>
      </c>
      <c r="AA94" s="1138">
        <v>441230</v>
      </c>
      <c r="AB94" s="1138">
        <v>32300</v>
      </c>
      <c r="AC94" s="1138">
        <v>0</v>
      </c>
      <c r="AD94" s="1138">
        <v>0</v>
      </c>
      <c r="AE94" s="1138">
        <v>152665</v>
      </c>
      <c r="AF94" s="1138">
        <v>38510</v>
      </c>
      <c r="AG94" s="1138">
        <v>10300</v>
      </c>
      <c r="AH94" s="1138">
        <v>0</v>
      </c>
      <c r="AI94" s="1138">
        <v>0</v>
      </c>
      <c r="AJ94" s="1138">
        <v>46201</v>
      </c>
      <c r="AK94" s="1138">
        <v>291931</v>
      </c>
      <c r="AL94" s="1138">
        <v>63549</v>
      </c>
      <c r="AM94" s="1138">
        <v>0</v>
      </c>
      <c r="AN94" s="1138">
        <v>0</v>
      </c>
      <c r="AO94" s="1138">
        <v>251714</v>
      </c>
      <c r="AP94" s="1138">
        <v>2951</v>
      </c>
      <c r="AQ94" s="1138">
        <v>0</v>
      </c>
      <c r="AR94" s="1138">
        <v>866590</v>
      </c>
      <c r="AS94" s="1138">
        <v>39677</v>
      </c>
      <c r="AT94" s="1138">
        <v>14900</v>
      </c>
      <c r="AU94" s="1138">
        <v>149857</v>
      </c>
      <c r="AV94" s="1138">
        <v>122600</v>
      </c>
      <c r="AW94" s="1138">
        <v>0</v>
      </c>
      <c r="AX94" s="1138">
        <v>1500</v>
      </c>
      <c r="AY94" s="1138">
        <v>0</v>
      </c>
      <c r="AZ94" s="1138">
        <v>0</v>
      </c>
      <c r="BA94" s="1138">
        <v>15485</v>
      </c>
      <c r="BB94" s="1138">
        <v>0</v>
      </c>
      <c r="BC94" s="1138">
        <v>0</v>
      </c>
      <c r="BD94" s="1138">
        <v>0</v>
      </c>
      <c r="BE94" s="1138">
        <v>0</v>
      </c>
      <c r="BF94" s="1138">
        <v>0</v>
      </c>
      <c r="BG94" s="1138">
        <v>140000</v>
      </c>
      <c r="BH94" s="1138">
        <v>0</v>
      </c>
      <c r="BI94" s="1138">
        <v>43326</v>
      </c>
      <c r="BJ94" s="1138">
        <v>125250</v>
      </c>
      <c r="BK94" s="1138">
        <v>0</v>
      </c>
      <c r="BL94" s="1138">
        <v>186016</v>
      </c>
      <c r="BM94" s="1138">
        <v>229735</v>
      </c>
      <c r="BN94" s="1138">
        <v>0</v>
      </c>
      <c r="BO94" s="1138">
        <v>101245</v>
      </c>
      <c r="BP94" s="1138">
        <v>82273</v>
      </c>
      <c r="BQ94" s="1138">
        <v>62472</v>
      </c>
      <c r="BR94" s="1138">
        <v>25109</v>
      </c>
      <c r="BS94" s="1138">
        <v>0</v>
      </c>
      <c r="BT94" s="1138">
        <v>0</v>
      </c>
      <c r="BU94" s="1138">
        <v>131166</v>
      </c>
      <c r="BV94" s="1138">
        <v>111061</v>
      </c>
      <c r="BW94" s="1138">
        <v>21500</v>
      </c>
      <c r="BX94" s="1138">
        <v>0</v>
      </c>
      <c r="BY94" s="1138">
        <v>0</v>
      </c>
      <c r="BZ94" s="1138">
        <v>0</v>
      </c>
      <c r="CA94" s="1138">
        <v>520198</v>
      </c>
      <c r="CB94" s="1138">
        <v>0</v>
      </c>
    </row>
    <row r="95" spans="1:80" x14ac:dyDescent="0.3">
      <c r="A95" s="269">
        <v>328</v>
      </c>
      <c r="B95" s="1002">
        <v>328</v>
      </c>
      <c r="C95" s="269" t="s">
        <v>551</v>
      </c>
      <c r="D95" s="269" t="s">
        <v>412</v>
      </c>
      <c r="E95" s="1138">
        <v>0</v>
      </c>
      <c r="F95" s="1138">
        <v>0</v>
      </c>
      <c r="G95" s="1138">
        <v>0</v>
      </c>
      <c r="H95" s="1138">
        <v>6100065</v>
      </c>
      <c r="I95" s="1138">
        <v>33425</v>
      </c>
      <c r="J95" s="1138">
        <v>0</v>
      </c>
      <c r="K95" s="1138">
        <v>0</v>
      </c>
      <c r="L95" s="1138">
        <v>0</v>
      </c>
      <c r="M95" s="1138">
        <v>35766068</v>
      </c>
      <c r="N95" s="1138">
        <v>0</v>
      </c>
      <c r="O95" s="1138">
        <v>78480</v>
      </c>
      <c r="P95" s="1138">
        <v>0</v>
      </c>
      <c r="Q95" s="1138">
        <v>0</v>
      </c>
      <c r="R95" s="1138">
        <v>1117209</v>
      </c>
      <c r="S95" s="1138">
        <v>1482333</v>
      </c>
      <c r="T95" s="1138">
        <v>0</v>
      </c>
      <c r="U95" s="1138">
        <v>0</v>
      </c>
      <c r="V95" s="1138">
        <v>13294437</v>
      </c>
      <c r="W95" s="1138">
        <v>0</v>
      </c>
      <c r="X95" s="1138">
        <v>0</v>
      </c>
      <c r="Y95" s="1138">
        <v>0</v>
      </c>
      <c r="Z95" s="1138">
        <v>0</v>
      </c>
      <c r="AA95" s="1138">
        <v>383698</v>
      </c>
      <c r="AB95" s="1138">
        <v>96093</v>
      </c>
      <c r="AC95" s="1138">
        <v>0</v>
      </c>
      <c r="AD95" s="1138">
        <v>0</v>
      </c>
      <c r="AE95" s="1138">
        <v>4500</v>
      </c>
      <c r="AF95" s="1138">
        <v>0</v>
      </c>
      <c r="AG95" s="1138">
        <v>0</v>
      </c>
      <c r="AH95" s="1138">
        <v>0</v>
      </c>
      <c r="AI95" s="1138">
        <v>0</v>
      </c>
      <c r="AJ95" s="1138">
        <v>0</v>
      </c>
      <c r="AK95" s="1138">
        <v>1556355</v>
      </c>
      <c r="AL95" s="1138">
        <v>0</v>
      </c>
      <c r="AM95" s="1138">
        <v>0</v>
      </c>
      <c r="AN95" s="1138">
        <v>3949214</v>
      </c>
      <c r="AO95" s="1138">
        <v>8349051</v>
      </c>
      <c r="AP95" s="1138">
        <v>0</v>
      </c>
      <c r="AQ95" s="1138">
        <v>0</v>
      </c>
      <c r="AR95" s="1138">
        <v>215913</v>
      </c>
      <c r="AS95" s="1138">
        <v>0</v>
      </c>
      <c r="AT95" s="1138">
        <v>0</v>
      </c>
      <c r="AU95" s="1138">
        <v>27500</v>
      </c>
      <c r="AV95" s="1138">
        <v>589786</v>
      </c>
      <c r="AW95" s="1138">
        <v>0</v>
      </c>
      <c r="AX95" s="1138">
        <v>0</v>
      </c>
      <c r="AY95" s="1138">
        <v>133550</v>
      </c>
      <c r="AZ95" s="1138">
        <v>541472</v>
      </c>
      <c r="BA95" s="1138">
        <v>426948</v>
      </c>
      <c r="BB95" s="1138">
        <v>0</v>
      </c>
      <c r="BC95" s="1138">
        <v>0</v>
      </c>
      <c r="BD95" s="1138">
        <v>0</v>
      </c>
      <c r="BE95" s="1138">
        <v>0</v>
      </c>
      <c r="BF95" s="1138">
        <v>0</v>
      </c>
      <c r="BG95" s="1138">
        <v>0</v>
      </c>
      <c r="BH95" s="1138">
        <v>0</v>
      </c>
      <c r="BI95" s="1138">
        <v>0</v>
      </c>
      <c r="BJ95" s="1138">
        <v>0</v>
      </c>
      <c r="BK95" s="1138">
        <v>0</v>
      </c>
      <c r="BL95" s="1138">
        <v>789039</v>
      </c>
      <c r="BM95" s="1138">
        <v>0</v>
      </c>
      <c r="BN95" s="1138">
        <v>0</v>
      </c>
      <c r="BO95" s="1138">
        <v>323705</v>
      </c>
      <c r="BP95" s="1138">
        <v>647218</v>
      </c>
      <c r="BQ95" s="1138">
        <v>0</v>
      </c>
      <c r="BR95" s="1138">
        <v>975283</v>
      </c>
      <c r="BS95" s="1138">
        <v>0</v>
      </c>
      <c r="BT95" s="1138">
        <v>0</v>
      </c>
      <c r="BU95" s="1138">
        <v>104857</v>
      </c>
      <c r="BV95" s="1138">
        <v>236744</v>
      </c>
      <c r="BW95" s="1138">
        <v>9815</v>
      </c>
      <c r="BX95" s="1138">
        <v>1225970</v>
      </c>
      <c r="BY95" s="1138">
        <v>0</v>
      </c>
      <c r="BZ95" s="1138">
        <v>0</v>
      </c>
      <c r="CA95" s="1138">
        <v>134754</v>
      </c>
      <c r="CB95" s="1138">
        <v>0</v>
      </c>
    </row>
    <row r="96" spans="1:80" x14ac:dyDescent="0.3">
      <c r="B96" s="1002">
        <v>330</v>
      </c>
      <c r="C96" s="269" t="s">
        <v>636</v>
      </c>
      <c r="D96" s="269" t="s">
        <v>413</v>
      </c>
      <c r="E96" s="1138">
        <v>0</v>
      </c>
      <c r="F96" s="1138">
        <v>0</v>
      </c>
      <c r="G96" s="1138">
        <v>0</v>
      </c>
      <c r="H96" s="1138">
        <v>0</v>
      </c>
      <c r="I96" s="1138">
        <v>0</v>
      </c>
      <c r="J96" s="1138">
        <v>0</v>
      </c>
      <c r="K96" s="1138">
        <v>0</v>
      </c>
      <c r="L96" s="1138">
        <v>0</v>
      </c>
      <c r="M96" s="1138">
        <v>0</v>
      </c>
      <c r="N96" s="1138">
        <v>0</v>
      </c>
      <c r="O96" s="1138">
        <v>0</v>
      </c>
      <c r="P96" s="1138">
        <v>0</v>
      </c>
      <c r="Q96" s="1138">
        <v>0</v>
      </c>
      <c r="R96" s="1138">
        <v>0</v>
      </c>
      <c r="S96" s="1138">
        <v>0</v>
      </c>
      <c r="T96" s="1138">
        <v>0</v>
      </c>
      <c r="U96" s="1138">
        <v>0</v>
      </c>
      <c r="V96" s="1138">
        <v>0</v>
      </c>
      <c r="W96" s="1138">
        <v>0</v>
      </c>
      <c r="X96" s="1138">
        <v>0</v>
      </c>
      <c r="Y96" s="1138">
        <v>0</v>
      </c>
      <c r="Z96" s="1138">
        <v>0</v>
      </c>
      <c r="AA96" s="1138">
        <v>0</v>
      </c>
      <c r="AB96" s="1138">
        <v>0</v>
      </c>
      <c r="AC96" s="1138">
        <v>0</v>
      </c>
      <c r="AD96" s="1138">
        <v>0</v>
      </c>
      <c r="AE96" s="1138">
        <v>0</v>
      </c>
      <c r="AF96" s="1138">
        <v>0</v>
      </c>
      <c r="AG96" s="1138">
        <v>0</v>
      </c>
      <c r="AH96" s="1138">
        <v>0</v>
      </c>
      <c r="AI96" s="1138">
        <v>0</v>
      </c>
      <c r="AJ96" s="1138">
        <v>0</v>
      </c>
      <c r="AK96" s="1138">
        <v>0</v>
      </c>
      <c r="AL96" s="1138">
        <v>0</v>
      </c>
      <c r="AM96" s="1138">
        <v>0</v>
      </c>
      <c r="AN96" s="1138">
        <v>0</v>
      </c>
      <c r="AO96" s="1138">
        <v>0</v>
      </c>
      <c r="AP96" s="1138">
        <v>0</v>
      </c>
      <c r="AQ96" s="1138">
        <v>0</v>
      </c>
      <c r="AR96" s="1138">
        <v>0</v>
      </c>
      <c r="AS96" s="1138">
        <v>0</v>
      </c>
      <c r="AT96" s="1138">
        <v>0</v>
      </c>
      <c r="AU96" s="1138">
        <v>0</v>
      </c>
      <c r="AV96" s="1138">
        <v>0</v>
      </c>
      <c r="AW96" s="1138">
        <v>0</v>
      </c>
      <c r="AX96" s="1138">
        <v>0</v>
      </c>
      <c r="AY96" s="1138">
        <v>0</v>
      </c>
      <c r="AZ96" s="1138">
        <v>0</v>
      </c>
      <c r="BA96" s="1138">
        <v>0</v>
      </c>
      <c r="BB96" s="1138">
        <v>0</v>
      </c>
      <c r="BC96" s="1138">
        <v>0</v>
      </c>
      <c r="BD96" s="1138">
        <v>0</v>
      </c>
      <c r="BE96" s="1138">
        <v>0</v>
      </c>
      <c r="BF96" s="1138">
        <v>0</v>
      </c>
      <c r="BG96" s="1138">
        <v>0</v>
      </c>
      <c r="BH96" s="1138">
        <v>0</v>
      </c>
      <c r="BI96" s="1138">
        <v>0</v>
      </c>
      <c r="BJ96" s="1138">
        <v>0</v>
      </c>
      <c r="BK96" s="1138">
        <v>0</v>
      </c>
      <c r="BL96" s="1138">
        <v>0</v>
      </c>
      <c r="BM96" s="1138">
        <v>0</v>
      </c>
      <c r="BN96" s="1138">
        <v>0</v>
      </c>
      <c r="BO96" s="1138">
        <v>0</v>
      </c>
      <c r="BP96" s="1138">
        <v>0</v>
      </c>
      <c r="BQ96" s="1138">
        <v>0</v>
      </c>
      <c r="BR96" s="1138">
        <v>0</v>
      </c>
      <c r="BS96" s="1138">
        <v>0</v>
      </c>
      <c r="BT96" s="1138">
        <v>0</v>
      </c>
      <c r="BU96" s="1138">
        <v>0</v>
      </c>
      <c r="BV96" s="1138">
        <v>0</v>
      </c>
      <c r="BW96" s="1138">
        <v>0</v>
      </c>
      <c r="BX96" s="1138">
        <v>0</v>
      </c>
      <c r="BY96" s="1138">
        <v>0</v>
      </c>
      <c r="BZ96" s="1138">
        <v>0</v>
      </c>
      <c r="CA96" s="1138">
        <v>0</v>
      </c>
      <c r="CB96" s="1138">
        <v>0</v>
      </c>
    </row>
    <row r="97" spans="1:80" x14ac:dyDescent="0.3">
      <c r="A97" s="269">
        <v>331</v>
      </c>
      <c r="B97" s="1002">
        <v>331</v>
      </c>
      <c r="C97" s="269" t="s">
        <v>247</v>
      </c>
      <c r="D97" s="269" t="s">
        <v>414</v>
      </c>
      <c r="E97" s="1138">
        <v>0</v>
      </c>
      <c r="F97" s="1138">
        <v>0</v>
      </c>
      <c r="G97" s="1138">
        <v>0</v>
      </c>
      <c r="H97" s="1138">
        <v>5472547</v>
      </c>
      <c r="I97" s="1138">
        <v>163425</v>
      </c>
      <c r="J97" s="1138">
        <v>0</v>
      </c>
      <c r="K97" s="1138">
        <v>0</v>
      </c>
      <c r="L97" s="1138">
        <v>48500</v>
      </c>
      <c r="M97" s="1138">
        <v>2800665</v>
      </c>
      <c r="N97" s="1138">
        <v>0</v>
      </c>
      <c r="O97" s="1138">
        <v>19643</v>
      </c>
      <c r="P97" s="1138">
        <v>73094</v>
      </c>
      <c r="Q97" s="1138">
        <v>0</v>
      </c>
      <c r="R97" s="1138">
        <v>2813</v>
      </c>
      <c r="S97" s="1138">
        <v>800126</v>
      </c>
      <c r="T97" s="1138">
        <v>1861540</v>
      </c>
      <c r="U97" s="1138">
        <v>0</v>
      </c>
      <c r="V97" s="1138">
        <v>1792639</v>
      </c>
      <c r="W97" s="1138">
        <v>0</v>
      </c>
      <c r="X97" s="1138">
        <v>0</v>
      </c>
      <c r="Y97" s="1138">
        <v>151789</v>
      </c>
      <c r="Z97" s="1138">
        <v>221130</v>
      </c>
      <c r="AA97" s="1138">
        <v>6699</v>
      </c>
      <c r="AB97" s="1138">
        <v>119939</v>
      </c>
      <c r="AC97" s="1138">
        <v>0</v>
      </c>
      <c r="AD97" s="1138">
        <v>12558</v>
      </c>
      <c r="AE97" s="1138">
        <v>90214</v>
      </c>
      <c r="AF97" s="1138">
        <v>253904</v>
      </c>
      <c r="AG97" s="1138">
        <v>0</v>
      </c>
      <c r="AH97" s="1138">
        <v>0</v>
      </c>
      <c r="AI97" s="1138">
        <v>0</v>
      </c>
      <c r="AJ97" s="1138">
        <v>0</v>
      </c>
      <c r="AK97" s="1138">
        <v>873720</v>
      </c>
      <c r="AL97" s="1138">
        <v>0</v>
      </c>
      <c r="AM97" s="1138">
        <v>0</v>
      </c>
      <c r="AN97" s="1138">
        <v>1053145</v>
      </c>
      <c r="AO97" s="1138">
        <v>1180373</v>
      </c>
      <c r="AP97" s="1138">
        <v>0</v>
      </c>
      <c r="AQ97" s="1138">
        <v>0</v>
      </c>
      <c r="AR97" s="1138">
        <v>273063</v>
      </c>
      <c r="AS97" s="1138">
        <v>6064</v>
      </c>
      <c r="AT97" s="1138">
        <v>4000</v>
      </c>
      <c r="AU97" s="1138">
        <v>0</v>
      </c>
      <c r="AV97" s="1138">
        <v>2310000</v>
      </c>
      <c r="AW97" s="1138">
        <v>18202</v>
      </c>
      <c r="AX97" s="1138">
        <v>24147</v>
      </c>
      <c r="AY97" s="1138">
        <v>890272</v>
      </c>
      <c r="AZ97" s="1138">
        <v>56805</v>
      </c>
      <c r="BA97" s="1138">
        <v>149347</v>
      </c>
      <c r="BB97" s="1138">
        <v>0</v>
      </c>
      <c r="BC97" s="1138">
        <v>0</v>
      </c>
      <c r="BD97" s="1138">
        <v>0</v>
      </c>
      <c r="BE97" s="1138">
        <v>0</v>
      </c>
      <c r="BF97" s="1138">
        <v>0</v>
      </c>
      <c r="BG97" s="1138">
        <v>0</v>
      </c>
      <c r="BH97" s="1138">
        <v>0</v>
      </c>
      <c r="BI97" s="1138">
        <v>263321</v>
      </c>
      <c r="BJ97" s="1138">
        <v>162960</v>
      </c>
      <c r="BK97" s="1138">
        <v>0</v>
      </c>
      <c r="BL97" s="1138">
        <v>79013</v>
      </c>
      <c r="BM97" s="1138">
        <v>68664</v>
      </c>
      <c r="BN97" s="1138">
        <v>0</v>
      </c>
      <c r="BO97" s="1138">
        <v>275045</v>
      </c>
      <c r="BP97" s="1138">
        <v>86799</v>
      </c>
      <c r="BQ97" s="1138">
        <v>43316</v>
      </c>
      <c r="BR97" s="1138">
        <v>42173</v>
      </c>
      <c r="BS97" s="1138">
        <v>0</v>
      </c>
      <c r="BT97" s="1138">
        <v>0</v>
      </c>
      <c r="BU97" s="1138">
        <v>35056</v>
      </c>
      <c r="BV97" s="1138">
        <v>299956</v>
      </c>
      <c r="BW97" s="1138">
        <v>12133</v>
      </c>
      <c r="BX97" s="1138">
        <v>0</v>
      </c>
      <c r="BY97" s="1138">
        <v>0</v>
      </c>
      <c r="BZ97" s="1138">
        <v>0</v>
      </c>
      <c r="CA97" s="1138">
        <v>744542</v>
      </c>
      <c r="CB97" s="1138">
        <v>0</v>
      </c>
    </row>
    <row r="98" spans="1:80" x14ac:dyDescent="0.3">
      <c r="A98" s="269">
        <v>332</v>
      </c>
      <c r="B98" s="1002">
        <v>332</v>
      </c>
      <c r="C98" s="269" t="s">
        <v>248</v>
      </c>
      <c r="D98" s="269" t="s">
        <v>415</v>
      </c>
      <c r="E98" s="1138">
        <v>0</v>
      </c>
      <c r="F98" s="1138">
        <v>0</v>
      </c>
      <c r="G98" s="1138">
        <v>0</v>
      </c>
      <c r="H98" s="1138">
        <v>2686357</v>
      </c>
      <c r="I98" s="1138">
        <v>71726</v>
      </c>
      <c r="J98" s="1138">
        <v>2179</v>
      </c>
      <c r="K98" s="1138">
        <v>0</v>
      </c>
      <c r="L98" s="1138">
        <v>63586</v>
      </c>
      <c r="M98" s="1138">
        <v>12776749</v>
      </c>
      <c r="N98" s="1138">
        <v>0</v>
      </c>
      <c r="O98" s="1138">
        <v>238869</v>
      </c>
      <c r="P98" s="1138">
        <v>71521</v>
      </c>
      <c r="Q98" s="1138">
        <v>0</v>
      </c>
      <c r="R98" s="1138">
        <v>1469572</v>
      </c>
      <c r="S98" s="1138">
        <v>853442</v>
      </c>
      <c r="T98" s="1138">
        <v>1218769</v>
      </c>
      <c r="U98" s="1138">
        <v>0</v>
      </c>
      <c r="V98" s="1138">
        <v>1043300</v>
      </c>
      <c r="W98" s="1138">
        <v>0</v>
      </c>
      <c r="X98" s="1138">
        <v>0</v>
      </c>
      <c r="Y98" s="1138">
        <v>0</v>
      </c>
      <c r="Z98" s="1138">
        <v>200798</v>
      </c>
      <c r="AA98" s="1138">
        <v>375414</v>
      </c>
      <c r="AB98" s="1138">
        <v>134411</v>
      </c>
      <c r="AC98" s="1138">
        <v>0</v>
      </c>
      <c r="AD98" s="1138">
        <v>0</v>
      </c>
      <c r="AE98" s="1138">
        <v>63641</v>
      </c>
      <c r="AF98" s="1138">
        <v>127781</v>
      </c>
      <c r="AG98" s="1138">
        <v>0</v>
      </c>
      <c r="AH98" s="1138">
        <v>0</v>
      </c>
      <c r="AI98" s="1138">
        <v>0</v>
      </c>
      <c r="AJ98" s="1138">
        <v>32988</v>
      </c>
      <c r="AK98" s="1138">
        <v>2233658</v>
      </c>
      <c r="AL98" s="1138">
        <v>0</v>
      </c>
      <c r="AM98" s="1138">
        <v>0</v>
      </c>
      <c r="AN98" s="1138">
        <v>2737375</v>
      </c>
      <c r="AO98" s="1138">
        <v>8729831</v>
      </c>
      <c r="AP98" s="1138">
        <v>0</v>
      </c>
      <c r="AQ98" s="1138">
        <v>0</v>
      </c>
      <c r="AR98" s="1138">
        <v>408632</v>
      </c>
      <c r="AS98" s="1138">
        <v>44410</v>
      </c>
      <c r="AT98" s="1138">
        <v>0</v>
      </c>
      <c r="AU98" s="1138">
        <v>225044</v>
      </c>
      <c r="AV98" s="1138">
        <v>577823</v>
      </c>
      <c r="AW98" s="1138">
        <v>0</v>
      </c>
      <c r="AX98" s="1138">
        <v>0</v>
      </c>
      <c r="AY98" s="1138">
        <v>150067</v>
      </c>
      <c r="AZ98" s="1138">
        <v>1202981</v>
      </c>
      <c r="BA98" s="1138">
        <v>548022</v>
      </c>
      <c r="BB98" s="1138">
        <v>0</v>
      </c>
      <c r="BC98" s="1138">
        <v>0</v>
      </c>
      <c r="BD98" s="1138">
        <v>0</v>
      </c>
      <c r="BE98" s="1138">
        <v>0</v>
      </c>
      <c r="BF98" s="1138">
        <v>0</v>
      </c>
      <c r="BG98" s="1138">
        <v>0</v>
      </c>
      <c r="BH98" s="1138">
        <v>0</v>
      </c>
      <c r="BI98" s="1138">
        <v>464945</v>
      </c>
      <c r="BJ98" s="1138">
        <v>54385</v>
      </c>
      <c r="BK98" s="1138">
        <v>0</v>
      </c>
      <c r="BL98" s="1138">
        <v>501382</v>
      </c>
      <c r="BM98" s="1138">
        <v>224125</v>
      </c>
      <c r="BN98" s="1138">
        <v>0</v>
      </c>
      <c r="BO98" s="1138">
        <v>546439</v>
      </c>
      <c r="BP98" s="1138">
        <v>728894</v>
      </c>
      <c r="BQ98" s="1138">
        <v>1521638</v>
      </c>
      <c r="BR98" s="1138">
        <v>290005</v>
      </c>
      <c r="BS98" s="1138">
        <v>0</v>
      </c>
      <c r="BT98" s="1138">
        <v>0</v>
      </c>
      <c r="BU98" s="1138">
        <v>489759</v>
      </c>
      <c r="BV98" s="1138">
        <v>325789</v>
      </c>
      <c r="BW98" s="1138">
        <v>87337</v>
      </c>
      <c r="BX98" s="1138">
        <v>1225970</v>
      </c>
      <c r="BY98" s="1138">
        <v>0</v>
      </c>
      <c r="BZ98" s="1138">
        <v>0</v>
      </c>
      <c r="CA98" s="1138">
        <v>1176694</v>
      </c>
      <c r="CB98" s="1138">
        <v>0</v>
      </c>
    </row>
    <row r="99" spans="1:80" x14ac:dyDescent="0.3">
      <c r="A99" s="269">
        <v>333</v>
      </c>
      <c r="B99" s="1002">
        <v>333</v>
      </c>
      <c r="C99" s="269" t="s">
        <v>184</v>
      </c>
      <c r="D99" s="269" t="s">
        <v>416</v>
      </c>
      <c r="E99" s="1138">
        <v>235624</v>
      </c>
      <c r="F99" s="1138">
        <v>22071086</v>
      </c>
      <c r="G99" s="1138">
        <v>0</v>
      </c>
      <c r="H99" s="1138">
        <v>36717139</v>
      </c>
      <c r="I99" s="1138">
        <v>3901017</v>
      </c>
      <c r="J99" s="1138">
        <v>402452</v>
      </c>
      <c r="K99" s="1138">
        <v>2735597</v>
      </c>
      <c r="L99" s="1138">
        <v>820632</v>
      </c>
      <c r="M99" s="1138">
        <v>14588969</v>
      </c>
      <c r="N99" s="1138">
        <v>203487</v>
      </c>
      <c r="O99" s="1138">
        <v>455762</v>
      </c>
      <c r="P99" s="1138">
        <v>446290</v>
      </c>
      <c r="Q99" s="1138">
        <v>15134886</v>
      </c>
      <c r="R99" s="1138">
        <v>14160948</v>
      </c>
      <c r="S99" s="1138">
        <v>2692150</v>
      </c>
      <c r="T99" s="1138">
        <v>10586742</v>
      </c>
      <c r="U99" s="1138">
        <v>0</v>
      </c>
      <c r="V99" s="1138">
        <v>17926247</v>
      </c>
      <c r="W99" s="1138">
        <v>167688</v>
      </c>
      <c r="X99" s="1138">
        <v>8271871</v>
      </c>
      <c r="Y99" s="1138">
        <v>11521490</v>
      </c>
      <c r="Z99" s="1138">
        <v>4011088</v>
      </c>
      <c r="AA99" s="1138">
        <v>1594469</v>
      </c>
      <c r="AB99" s="1138">
        <v>2918273</v>
      </c>
      <c r="AC99" s="1138">
        <v>1019523</v>
      </c>
      <c r="AD99" s="1138">
        <v>230847</v>
      </c>
      <c r="AE99" s="1138">
        <v>1002200</v>
      </c>
      <c r="AF99" s="1138">
        <v>610116</v>
      </c>
      <c r="AG99" s="1138">
        <v>131506</v>
      </c>
      <c r="AH99" s="1138">
        <v>62627</v>
      </c>
      <c r="AI99" s="1138">
        <v>141351</v>
      </c>
      <c r="AJ99" s="1138">
        <v>1653811</v>
      </c>
      <c r="AK99" s="1138">
        <v>2975628</v>
      </c>
      <c r="AL99" s="1138">
        <v>225247</v>
      </c>
      <c r="AM99" s="1138">
        <v>112065</v>
      </c>
      <c r="AN99" s="1138">
        <v>10884015</v>
      </c>
      <c r="AO99" s="1138">
        <v>11002254</v>
      </c>
      <c r="AP99" s="1138">
        <v>504156</v>
      </c>
      <c r="AQ99" s="1138">
        <v>10095618</v>
      </c>
      <c r="AR99" s="1138">
        <v>24572400</v>
      </c>
      <c r="AS99" s="1138">
        <v>2451039</v>
      </c>
      <c r="AT99" s="1138">
        <v>372694</v>
      </c>
      <c r="AU99" s="1138">
        <v>2356970</v>
      </c>
      <c r="AV99" s="1138">
        <v>5085737</v>
      </c>
      <c r="AW99" s="1138">
        <v>153356</v>
      </c>
      <c r="AX99" s="1138">
        <v>194653</v>
      </c>
      <c r="AY99" s="1138">
        <v>2669276</v>
      </c>
      <c r="AZ99" s="1138">
        <v>1715339</v>
      </c>
      <c r="BA99" s="1138">
        <v>1527944</v>
      </c>
      <c r="BB99" s="1138">
        <v>60530</v>
      </c>
      <c r="BC99" s="1138">
        <v>0</v>
      </c>
      <c r="BD99" s="1138">
        <v>0</v>
      </c>
      <c r="BE99" s="1138">
        <v>363569</v>
      </c>
      <c r="BF99" s="1138">
        <v>0</v>
      </c>
      <c r="BG99" s="1138">
        <v>415422</v>
      </c>
      <c r="BH99" s="1138">
        <v>137107</v>
      </c>
      <c r="BI99" s="1138">
        <v>2719982</v>
      </c>
      <c r="BJ99" s="1138">
        <v>3025371</v>
      </c>
      <c r="BK99" s="1138">
        <v>0</v>
      </c>
      <c r="BL99" s="1138">
        <v>2797965</v>
      </c>
      <c r="BM99" s="1138">
        <v>6017687</v>
      </c>
      <c r="BN99" s="1138">
        <v>125766</v>
      </c>
      <c r="BO99" s="1138">
        <v>2674936</v>
      </c>
      <c r="BP99" s="1138">
        <v>3049048</v>
      </c>
      <c r="BQ99" s="1138">
        <v>1472991</v>
      </c>
      <c r="BR99" s="1138">
        <v>1182647</v>
      </c>
      <c r="BS99" s="1138">
        <v>2628354</v>
      </c>
      <c r="BT99" s="1138">
        <v>13332238</v>
      </c>
      <c r="BU99" s="1138">
        <v>1830919</v>
      </c>
      <c r="BV99" s="1138">
        <v>1161855</v>
      </c>
      <c r="BW99" s="1138">
        <v>954348</v>
      </c>
      <c r="BX99" s="1138">
        <v>935465</v>
      </c>
      <c r="BY99" s="1138">
        <v>156637</v>
      </c>
      <c r="BZ99" s="1138">
        <v>189360</v>
      </c>
      <c r="CA99" s="1138">
        <v>12775781</v>
      </c>
      <c r="CB99" s="1138">
        <v>125756</v>
      </c>
    </row>
    <row r="100" spans="1:80" x14ac:dyDescent="0.3">
      <c r="A100" s="269">
        <v>334</v>
      </c>
      <c r="B100" s="1002">
        <v>334</v>
      </c>
      <c r="C100" s="269" t="s">
        <v>276</v>
      </c>
      <c r="D100" s="269" t="s">
        <v>417</v>
      </c>
      <c r="E100" s="1138">
        <v>2955470</v>
      </c>
      <c r="F100" s="1138">
        <v>56887824</v>
      </c>
      <c r="G100" s="1138">
        <v>0</v>
      </c>
      <c r="H100" s="1138">
        <v>164583839</v>
      </c>
      <c r="I100" s="1138">
        <v>10592174</v>
      </c>
      <c r="J100" s="1138">
        <v>145170</v>
      </c>
      <c r="K100" s="1138">
        <v>1310889</v>
      </c>
      <c r="L100" s="1138">
        <v>3522855</v>
      </c>
      <c r="M100" s="1138">
        <v>249877796</v>
      </c>
      <c r="N100" s="1138">
        <v>148749</v>
      </c>
      <c r="O100" s="1138">
        <v>2173489</v>
      </c>
      <c r="P100" s="1138">
        <v>4291086</v>
      </c>
      <c r="Q100" s="1138">
        <v>143434792</v>
      </c>
      <c r="R100" s="1138">
        <v>46954652</v>
      </c>
      <c r="S100" s="1138">
        <v>10773202</v>
      </c>
      <c r="T100" s="1138">
        <v>26500378</v>
      </c>
      <c r="U100" s="1138">
        <v>0</v>
      </c>
      <c r="V100" s="1138">
        <v>40052433</v>
      </c>
      <c r="W100" s="1138">
        <v>9065</v>
      </c>
      <c r="X100" s="1138">
        <v>31915702</v>
      </c>
      <c r="Y100" s="1138">
        <v>89938877</v>
      </c>
      <c r="Z100" s="1138">
        <v>13084037</v>
      </c>
      <c r="AA100" s="1138">
        <v>17531945</v>
      </c>
      <c r="AB100" s="1138">
        <v>8985016</v>
      </c>
      <c r="AC100" s="1138">
        <v>752982</v>
      </c>
      <c r="AD100" s="1138">
        <v>892076</v>
      </c>
      <c r="AE100" s="1138">
        <v>3084468</v>
      </c>
      <c r="AF100" s="1138">
        <v>5018750</v>
      </c>
      <c r="AG100" s="1138">
        <v>663698</v>
      </c>
      <c r="AH100" s="1138">
        <v>145137</v>
      </c>
      <c r="AI100" s="1138">
        <v>1865637</v>
      </c>
      <c r="AJ100" s="1138">
        <v>2194578</v>
      </c>
      <c r="AK100" s="1138">
        <v>18548719</v>
      </c>
      <c r="AL100" s="1138">
        <v>1497910</v>
      </c>
      <c r="AM100" s="1138">
        <v>37458</v>
      </c>
      <c r="AN100" s="1138">
        <v>81854795</v>
      </c>
      <c r="AO100" s="1138">
        <v>76417296</v>
      </c>
      <c r="AP100" s="1138">
        <v>470036</v>
      </c>
      <c r="AQ100" s="1138">
        <v>8676932</v>
      </c>
      <c r="AR100" s="1138">
        <v>99056710</v>
      </c>
      <c r="AS100" s="1138">
        <v>3852497</v>
      </c>
      <c r="AT100" s="1138">
        <v>3122672</v>
      </c>
      <c r="AU100" s="1138">
        <v>9420663</v>
      </c>
      <c r="AV100" s="1138">
        <v>33752694</v>
      </c>
      <c r="AW100" s="1138">
        <v>499184</v>
      </c>
      <c r="AX100" s="1138">
        <v>1216324</v>
      </c>
      <c r="AY100" s="1138">
        <v>15053966</v>
      </c>
      <c r="AZ100" s="1138">
        <v>7924560</v>
      </c>
      <c r="BA100" s="1138">
        <v>8611806</v>
      </c>
      <c r="BB100" s="1138">
        <v>25799</v>
      </c>
      <c r="BC100" s="1138">
        <v>0</v>
      </c>
      <c r="BD100" s="1138">
        <v>0</v>
      </c>
      <c r="BE100" s="1138">
        <v>103316</v>
      </c>
      <c r="BF100" s="1138">
        <v>0</v>
      </c>
      <c r="BG100" s="1138">
        <v>489803</v>
      </c>
      <c r="BH100" s="1138">
        <v>125775</v>
      </c>
      <c r="BI100" s="1138">
        <v>6224693</v>
      </c>
      <c r="BJ100" s="1138">
        <v>8948183</v>
      </c>
      <c r="BK100" s="1138">
        <v>0</v>
      </c>
      <c r="BL100" s="1138">
        <v>16101602</v>
      </c>
      <c r="BM100" s="1138">
        <v>8942988</v>
      </c>
      <c r="BN100" s="1138">
        <v>154058</v>
      </c>
      <c r="BO100" s="1138">
        <v>16950182</v>
      </c>
      <c r="BP100" s="1138">
        <v>9141081</v>
      </c>
      <c r="BQ100" s="1138">
        <v>1250506</v>
      </c>
      <c r="BR100" s="1138">
        <v>2972058</v>
      </c>
      <c r="BS100" s="1138">
        <v>1191084</v>
      </c>
      <c r="BT100" s="1138">
        <v>141033863</v>
      </c>
      <c r="BU100" s="1138">
        <v>4819048</v>
      </c>
      <c r="BV100" s="1138">
        <v>5815827</v>
      </c>
      <c r="BW100" s="1138">
        <v>1752003</v>
      </c>
      <c r="BX100" s="1138">
        <v>3013101</v>
      </c>
      <c r="BY100" s="1138">
        <v>43270</v>
      </c>
      <c r="BZ100" s="1138">
        <v>67343</v>
      </c>
      <c r="CA100" s="1138">
        <v>61037717</v>
      </c>
      <c r="CB100" s="1138">
        <v>226559</v>
      </c>
    </row>
    <row r="101" spans="1:80" x14ac:dyDescent="0.3">
      <c r="A101" s="269">
        <v>335</v>
      </c>
      <c r="B101" s="1002">
        <v>335</v>
      </c>
      <c r="C101" s="269" t="s">
        <v>117</v>
      </c>
      <c r="D101" s="269" t="s">
        <v>418</v>
      </c>
      <c r="E101" s="1138">
        <v>0</v>
      </c>
      <c r="F101" s="1138">
        <v>0</v>
      </c>
      <c r="G101" s="1138">
        <v>0</v>
      </c>
      <c r="H101" s="1138">
        <v>0</v>
      </c>
      <c r="I101" s="1138">
        <v>0</v>
      </c>
      <c r="J101" s="1138">
        <v>0</v>
      </c>
      <c r="K101" s="1138">
        <v>0</v>
      </c>
      <c r="L101" s="1138">
        <v>0</v>
      </c>
      <c r="M101" s="1138">
        <v>0</v>
      </c>
      <c r="N101" s="1138">
        <v>0</v>
      </c>
      <c r="O101" s="1138">
        <v>0</v>
      </c>
      <c r="P101" s="1138">
        <v>0</v>
      </c>
      <c r="Q101" s="1138">
        <v>47424</v>
      </c>
      <c r="R101" s="1138">
        <v>7549</v>
      </c>
      <c r="S101" s="1138">
        <v>0</v>
      </c>
      <c r="T101" s="1138">
        <v>0</v>
      </c>
      <c r="U101" s="1138">
        <v>0</v>
      </c>
      <c r="V101" s="1138">
        <v>34038</v>
      </c>
      <c r="W101" s="1138">
        <v>0</v>
      </c>
      <c r="X101" s="1138">
        <v>0</v>
      </c>
      <c r="Y101" s="1138">
        <v>0</v>
      </c>
      <c r="Z101" s="1138">
        <v>0</v>
      </c>
      <c r="AA101" s="1138">
        <v>0</v>
      </c>
      <c r="AB101" s="1138">
        <v>0</v>
      </c>
      <c r="AC101" s="1138">
        <v>0</v>
      </c>
      <c r="AD101" s="1138">
        <v>0</v>
      </c>
      <c r="AE101" s="1138">
        <v>0</v>
      </c>
      <c r="AF101" s="1138">
        <v>0</v>
      </c>
      <c r="AG101" s="1138">
        <v>0</v>
      </c>
      <c r="AH101" s="1138">
        <v>0</v>
      </c>
      <c r="AI101" s="1138">
        <v>0</v>
      </c>
      <c r="AJ101" s="1138">
        <v>0</v>
      </c>
      <c r="AK101" s="1138">
        <v>0</v>
      </c>
      <c r="AL101" s="1138">
        <v>0</v>
      </c>
      <c r="AM101" s="1138">
        <v>0</v>
      </c>
      <c r="AN101" s="1138">
        <v>0</v>
      </c>
      <c r="AO101" s="1138">
        <v>0</v>
      </c>
      <c r="AP101" s="1138">
        <v>0</v>
      </c>
      <c r="AQ101" s="1138">
        <v>0</v>
      </c>
      <c r="AR101" s="1138">
        <v>0</v>
      </c>
      <c r="AS101" s="1138">
        <v>9538</v>
      </c>
      <c r="AT101" s="1138">
        <v>0</v>
      </c>
      <c r="AU101" s="1138">
        <v>0</v>
      </c>
      <c r="AV101" s="1138">
        <v>10</v>
      </c>
      <c r="AW101" s="1138">
        <v>0</v>
      </c>
      <c r="AX101" s="1138">
        <v>0</v>
      </c>
      <c r="AY101" s="1138">
        <v>0</v>
      </c>
      <c r="AZ101" s="1138">
        <v>0</v>
      </c>
      <c r="BA101" s="1138">
        <v>0</v>
      </c>
      <c r="BB101" s="1138">
        <v>0</v>
      </c>
      <c r="BC101" s="1138">
        <v>0</v>
      </c>
      <c r="BD101" s="1138">
        <v>0</v>
      </c>
      <c r="BE101" s="1138">
        <v>0</v>
      </c>
      <c r="BF101" s="1138">
        <v>0</v>
      </c>
      <c r="BG101" s="1138">
        <v>0</v>
      </c>
      <c r="BH101" s="1138">
        <v>0</v>
      </c>
      <c r="BI101" s="1138">
        <v>0</v>
      </c>
      <c r="BJ101" s="1138">
        <v>0</v>
      </c>
      <c r="BK101" s="1138">
        <v>0</v>
      </c>
      <c r="BL101" s="1138">
        <v>148</v>
      </c>
      <c r="BM101" s="1138">
        <v>0</v>
      </c>
      <c r="BN101" s="1138">
        <v>0</v>
      </c>
      <c r="BO101" s="1138">
        <v>0</v>
      </c>
      <c r="BP101" s="1138">
        <v>0</v>
      </c>
      <c r="BQ101" s="1138">
        <v>0</v>
      </c>
      <c r="BR101" s="1138">
        <v>0</v>
      </c>
      <c r="BS101" s="1138">
        <v>0</v>
      </c>
      <c r="BT101" s="1138">
        <v>0</v>
      </c>
      <c r="BU101" s="1138">
        <v>0</v>
      </c>
      <c r="BV101" s="1138">
        <v>0</v>
      </c>
      <c r="BW101" s="1138">
        <v>0</v>
      </c>
      <c r="BX101" s="1138">
        <v>0</v>
      </c>
      <c r="BY101" s="1138">
        <v>0</v>
      </c>
      <c r="BZ101" s="1138">
        <v>0</v>
      </c>
      <c r="CA101" s="1138">
        <v>0</v>
      </c>
      <c r="CB101" s="1138">
        <v>0</v>
      </c>
    </row>
    <row r="102" spans="1:80" x14ac:dyDescent="0.3">
      <c r="A102" s="269">
        <v>336</v>
      </c>
      <c r="B102" s="1002">
        <v>336</v>
      </c>
      <c r="C102" s="269" t="s">
        <v>637</v>
      </c>
      <c r="D102" s="269" t="s">
        <v>419</v>
      </c>
      <c r="E102" s="1138">
        <v>119369</v>
      </c>
      <c r="F102" s="1138">
        <v>456828</v>
      </c>
      <c r="G102" s="1138">
        <v>0</v>
      </c>
      <c r="H102" s="1138">
        <v>12762239</v>
      </c>
      <c r="I102" s="1138">
        <v>241694</v>
      </c>
      <c r="J102" s="1138">
        <v>15715</v>
      </c>
      <c r="K102" s="1138">
        <v>22605</v>
      </c>
      <c r="L102" s="1138">
        <v>74735</v>
      </c>
      <c r="M102" s="1138">
        <v>11916616</v>
      </c>
      <c r="N102" s="1138">
        <v>13408</v>
      </c>
      <c r="O102" s="1138">
        <v>39107</v>
      </c>
      <c r="P102" s="1138">
        <v>50573</v>
      </c>
      <c r="Q102" s="1138">
        <v>4995989</v>
      </c>
      <c r="R102" s="1138">
        <v>3412714</v>
      </c>
      <c r="S102" s="1138">
        <v>483033</v>
      </c>
      <c r="T102" s="1138">
        <v>1595901</v>
      </c>
      <c r="U102" s="1138">
        <v>0</v>
      </c>
      <c r="V102" s="1138">
        <v>4727578</v>
      </c>
      <c r="W102" s="1138">
        <v>335</v>
      </c>
      <c r="X102" s="1138">
        <v>2459859</v>
      </c>
      <c r="Y102" s="1138">
        <v>3474195</v>
      </c>
      <c r="Z102" s="1138">
        <v>1025179</v>
      </c>
      <c r="AA102" s="1138">
        <v>147192</v>
      </c>
      <c r="AB102" s="1138">
        <v>420942</v>
      </c>
      <c r="AC102" s="1138">
        <v>2926</v>
      </c>
      <c r="AD102" s="1138">
        <v>42306</v>
      </c>
      <c r="AE102" s="1138">
        <v>64984</v>
      </c>
      <c r="AF102" s="1138">
        <v>550055</v>
      </c>
      <c r="AG102" s="1138">
        <v>8298</v>
      </c>
      <c r="AH102" s="1138">
        <v>1262</v>
      </c>
      <c r="AI102" s="1138">
        <v>441</v>
      </c>
      <c r="AJ102" s="1138">
        <v>81178</v>
      </c>
      <c r="AK102" s="1138">
        <v>728997</v>
      </c>
      <c r="AL102" s="1138">
        <v>5241</v>
      </c>
      <c r="AM102" s="1138">
        <v>1477</v>
      </c>
      <c r="AN102" s="1138">
        <v>3682645</v>
      </c>
      <c r="AO102" s="1138">
        <v>1177565</v>
      </c>
      <c r="AP102" s="1138">
        <v>5429</v>
      </c>
      <c r="AQ102" s="1138">
        <v>660172</v>
      </c>
      <c r="AR102" s="1138">
        <v>5501886</v>
      </c>
      <c r="AS102" s="1138">
        <v>179138</v>
      </c>
      <c r="AT102" s="1138">
        <v>96717</v>
      </c>
      <c r="AU102" s="1138">
        <v>390012</v>
      </c>
      <c r="AV102" s="1138">
        <v>1737191</v>
      </c>
      <c r="AW102" s="1138">
        <v>44927</v>
      </c>
      <c r="AX102" s="1138">
        <v>33289</v>
      </c>
      <c r="AY102" s="1138">
        <v>139793</v>
      </c>
      <c r="AZ102" s="1138">
        <v>147038</v>
      </c>
      <c r="BA102" s="1138">
        <v>224306</v>
      </c>
      <c r="BB102" s="1138">
        <v>1462</v>
      </c>
      <c r="BC102" s="1138">
        <v>0</v>
      </c>
      <c r="BD102" s="1138">
        <v>0</v>
      </c>
      <c r="BE102" s="1138">
        <v>4263</v>
      </c>
      <c r="BF102" s="1138">
        <v>0</v>
      </c>
      <c r="BG102" s="1138">
        <v>13307</v>
      </c>
      <c r="BH102" s="1138">
        <v>2572</v>
      </c>
      <c r="BI102" s="1138">
        <v>64975</v>
      </c>
      <c r="BJ102" s="1138">
        <v>144449</v>
      </c>
      <c r="BK102" s="1138">
        <v>0</v>
      </c>
      <c r="BL102" s="1138">
        <v>276461</v>
      </c>
      <c r="BM102" s="1138">
        <v>142948</v>
      </c>
      <c r="BN102" s="1138">
        <v>0</v>
      </c>
      <c r="BO102" s="1138">
        <v>422895</v>
      </c>
      <c r="BP102" s="1138">
        <v>742257</v>
      </c>
      <c r="BQ102" s="1138">
        <v>21947</v>
      </c>
      <c r="BR102" s="1138">
        <v>45136</v>
      </c>
      <c r="BS102" s="1138">
        <v>32010</v>
      </c>
      <c r="BT102" s="1138">
        <v>2545955</v>
      </c>
      <c r="BU102" s="1138">
        <v>153808</v>
      </c>
      <c r="BV102" s="1138">
        <v>130216</v>
      </c>
      <c r="BW102" s="1138">
        <v>144961</v>
      </c>
      <c r="BX102" s="1138">
        <v>78335</v>
      </c>
      <c r="BY102" s="1138">
        <v>0</v>
      </c>
      <c r="BZ102" s="1138">
        <v>0</v>
      </c>
      <c r="CA102" s="1138">
        <v>2345046</v>
      </c>
      <c r="CB102" s="1138">
        <v>5546</v>
      </c>
    </row>
    <row r="103" spans="1:80" x14ac:dyDescent="0.3">
      <c r="A103" s="269">
        <v>337</v>
      </c>
      <c r="B103" s="1002">
        <v>337</v>
      </c>
      <c r="C103" s="269" t="s">
        <v>254</v>
      </c>
      <c r="D103" s="269" t="s">
        <v>420</v>
      </c>
      <c r="E103" s="1138">
        <v>165265</v>
      </c>
      <c r="F103" s="1138">
        <v>13019995</v>
      </c>
      <c r="G103" s="1138">
        <v>0</v>
      </c>
      <c r="H103" s="1138">
        <v>22696325</v>
      </c>
      <c r="I103" s="1138">
        <v>862742</v>
      </c>
      <c r="J103" s="1138">
        <v>0</v>
      </c>
      <c r="K103" s="1138">
        <v>0</v>
      </c>
      <c r="L103" s="1138">
        <v>1247948</v>
      </c>
      <c r="M103" s="1138">
        <v>64715825</v>
      </c>
      <c r="N103" s="1138">
        <v>0</v>
      </c>
      <c r="O103" s="1138">
        <v>18475</v>
      </c>
      <c r="P103" s="1138">
        <v>437231</v>
      </c>
      <c r="Q103" s="1138">
        <v>25998532</v>
      </c>
      <c r="R103" s="1138">
        <v>12173105</v>
      </c>
      <c r="S103" s="1138">
        <v>2044239</v>
      </c>
      <c r="T103" s="1138">
        <v>2389854</v>
      </c>
      <c r="U103" s="1138">
        <v>0</v>
      </c>
      <c r="V103" s="1138">
        <v>10534163</v>
      </c>
      <c r="W103" s="1138">
        <v>0</v>
      </c>
      <c r="X103" s="1138">
        <v>5999400</v>
      </c>
      <c r="Y103" s="1138">
        <v>11027203</v>
      </c>
      <c r="Z103" s="1138">
        <v>5654885</v>
      </c>
      <c r="AA103" s="1138">
        <v>126854</v>
      </c>
      <c r="AB103" s="1138">
        <v>1196141</v>
      </c>
      <c r="AC103" s="1138">
        <v>0</v>
      </c>
      <c r="AD103" s="1138">
        <v>0</v>
      </c>
      <c r="AE103" s="1138">
        <v>83241</v>
      </c>
      <c r="AF103" s="1138">
        <v>2041217</v>
      </c>
      <c r="AG103" s="1138">
        <v>5656</v>
      </c>
      <c r="AH103" s="1138">
        <v>0</v>
      </c>
      <c r="AI103" s="1138">
        <v>0</v>
      </c>
      <c r="AJ103" s="1138">
        <v>0</v>
      </c>
      <c r="AK103" s="1138">
        <v>5826792</v>
      </c>
      <c r="AL103" s="1138">
        <v>0</v>
      </c>
      <c r="AM103" s="1138">
        <v>0</v>
      </c>
      <c r="AN103" s="1138">
        <v>10940597</v>
      </c>
      <c r="AO103" s="1138">
        <v>1667097</v>
      </c>
      <c r="AP103" s="1138">
        <v>0</v>
      </c>
      <c r="AQ103" s="1138">
        <v>653338</v>
      </c>
      <c r="AR103" s="1138">
        <v>6064358</v>
      </c>
      <c r="AS103" s="1138">
        <v>370531</v>
      </c>
      <c r="AT103" s="1138">
        <v>377628</v>
      </c>
      <c r="AU103" s="1138">
        <v>2879121</v>
      </c>
      <c r="AV103" s="1138">
        <v>779678</v>
      </c>
      <c r="AW103" s="1138">
        <v>0</v>
      </c>
      <c r="AX103" s="1138">
        <v>32313</v>
      </c>
      <c r="AY103" s="1138">
        <v>1900283</v>
      </c>
      <c r="AZ103" s="1138">
        <v>673167</v>
      </c>
      <c r="BA103" s="1138">
        <v>676585</v>
      </c>
      <c r="BB103" s="1138">
        <v>0</v>
      </c>
      <c r="BC103" s="1138">
        <v>0</v>
      </c>
      <c r="BD103" s="1138">
        <v>0</v>
      </c>
      <c r="BE103" s="1138">
        <v>0</v>
      </c>
      <c r="BF103" s="1138">
        <v>0</v>
      </c>
      <c r="BG103" s="1138">
        <v>0</v>
      </c>
      <c r="BH103" s="1138">
        <v>0</v>
      </c>
      <c r="BI103" s="1138">
        <v>125165</v>
      </c>
      <c r="BJ103" s="1138">
        <v>59991</v>
      </c>
      <c r="BK103" s="1138">
        <v>0</v>
      </c>
      <c r="BL103" s="1138">
        <v>1955000</v>
      </c>
      <c r="BM103" s="1138">
        <v>0</v>
      </c>
      <c r="BN103" s="1138">
        <v>0</v>
      </c>
      <c r="BO103" s="1138">
        <v>1116014</v>
      </c>
      <c r="BP103" s="1138">
        <v>0</v>
      </c>
      <c r="BQ103" s="1138">
        <v>12019</v>
      </c>
      <c r="BR103" s="1138">
        <v>0</v>
      </c>
      <c r="BS103" s="1138">
        <v>0</v>
      </c>
      <c r="BT103" s="1138">
        <v>6972717</v>
      </c>
      <c r="BU103" s="1138">
        <v>556156</v>
      </c>
      <c r="BV103" s="1138">
        <v>341440</v>
      </c>
      <c r="BW103" s="1138">
        <v>314419</v>
      </c>
      <c r="BX103" s="1138">
        <v>0</v>
      </c>
      <c r="BY103" s="1138">
        <v>0</v>
      </c>
      <c r="BZ103" s="1138">
        <v>0</v>
      </c>
      <c r="CA103" s="1138">
        <v>9645099</v>
      </c>
      <c r="CB103" s="1138">
        <v>54669</v>
      </c>
    </row>
    <row r="104" spans="1:80" x14ac:dyDescent="0.3">
      <c r="A104" s="269">
        <v>338</v>
      </c>
      <c r="B104" s="1002">
        <v>338</v>
      </c>
      <c r="C104" s="269" t="s">
        <v>116</v>
      </c>
      <c r="D104" s="269" t="s">
        <v>421</v>
      </c>
      <c r="E104" s="1138">
        <v>843447</v>
      </c>
      <c r="F104" s="1138">
        <v>15207605</v>
      </c>
      <c r="G104" s="1138">
        <v>0</v>
      </c>
      <c r="H104" s="1138">
        <v>47608183</v>
      </c>
      <c r="I104" s="1138">
        <v>1645911</v>
      </c>
      <c r="J104" s="1138">
        <v>365243</v>
      </c>
      <c r="K104" s="1138">
        <v>371943</v>
      </c>
      <c r="L104" s="1138">
        <v>2085310</v>
      </c>
      <c r="M104" s="1138">
        <v>126037724</v>
      </c>
      <c r="N104" s="1138">
        <v>13408</v>
      </c>
      <c r="O104" s="1138">
        <v>936427</v>
      </c>
      <c r="P104" s="1138">
        <v>737470</v>
      </c>
      <c r="Q104" s="1138">
        <v>49510787</v>
      </c>
      <c r="R104" s="1138">
        <v>23678644</v>
      </c>
      <c r="S104" s="1138">
        <v>4306075</v>
      </c>
      <c r="T104" s="1138">
        <v>14647691</v>
      </c>
      <c r="U104" s="1138">
        <v>0</v>
      </c>
      <c r="V104" s="1138">
        <v>27244943</v>
      </c>
      <c r="W104" s="1138">
        <v>335</v>
      </c>
      <c r="X104" s="1138">
        <v>10227668</v>
      </c>
      <c r="Y104" s="1138">
        <v>24519820</v>
      </c>
      <c r="Z104" s="1138">
        <v>8803512</v>
      </c>
      <c r="AA104" s="1138">
        <v>391487</v>
      </c>
      <c r="AB104" s="1138">
        <v>6528482</v>
      </c>
      <c r="AC104" s="1138">
        <v>2926</v>
      </c>
      <c r="AD104" s="1138">
        <v>42306</v>
      </c>
      <c r="AE104" s="1138">
        <v>307272</v>
      </c>
      <c r="AF104" s="1138">
        <v>2581086</v>
      </c>
      <c r="AG104" s="1138">
        <v>8902</v>
      </c>
      <c r="AH104" s="1138">
        <v>1262</v>
      </c>
      <c r="AI104" s="1138">
        <v>441</v>
      </c>
      <c r="AJ104" s="1138">
        <v>570811</v>
      </c>
      <c r="AK104" s="1138">
        <v>10540297</v>
      </c>
      <c r="AL104" s="1138">
        <v>6141</v>
      </c>
      <c r="AM104" s="1138">
        <v>1477</v>
      </c>
      <c r="AN104" s="1138">
        <v>16127370</v>
      </c>
      <c r="AO104" s="1138">
        <v>9546403</v>
      </c>
      <c r="AP104" s="1138">
        <v>24029</v>
      </c>
      <c r="AQ104" s="1138">
        <v>1566304</v>
      </c>
      <c r="AR104" s="1138">
        <v>32077931</v>
      </c>
      <c r="AS104" s="1138">
        <v>1186172</v>
      </c>
      <c r="AT104" s="1138">
        <v>689146</v>
      </c>
      <c r="AU104" s="1138">
        <v>5035873</v>
      </c>
      <c r="AV104" s="1138">
        <v>14601853</v>
      </c>
      <c r="AW104" s="1138">
        <v>46095</v>
      </c>
      <c r="AX104" s="1138">
        <v>137616</v>
      </c>
      <c r="AY104" s="1138">
        <v>3260627</v>
      </c>
      <c r="AZ104" s="1138">
        <v>1888845</v>
      </c>
      <c r="BA104" s="1138">
        <v>2768857</v>
      </c>
      <c r="BB104" s="1138">
        <v>1462</v>
      </c>
      <c r="BC104" s="1138">
        <v>0</v>
      </c>
      <c r="BD104" s="1138">
        <v>0</v>
      </c>
      <c r="BE104" s="1138">
        <v>4263</v>
      </c>
      <c r="BF104" s="1138">
        <v>0</v>
      </c>
      <c r="BG104" s="1138">
        <v>30525</v>
      </c>
      <c r="BH104" s="1138">
        <v>2572</v>
      </c>
      <c r="BI104" s="1138">
        <v>3704971</v>
      </c>
      <c r="BJ104" s="1138">
        <v>1199077</v>
      </c>
      <c r="BK104" s="1138">
        <v>0</v>
      </c>
      <c r="BL104" s="1138">
        <v>3578440</v>
      </c>
      <c r="BM104" s="1138">
        <v>2929520</v>
      </c>
      <c r="BN104" s="1138">
        <v>0</v>
      </c>
      <c r="BO104" s="1138">
        <v>3521232</v>
      </c>
      <c r="BP104" s="1138">
        <v>1135477</v>
      </c>
      <c r="BQ104" s="1138">
        <v>218749</v>
      </c>
      <c r="BR104" s="1138">
        <v>620336</v>
      </c>
      <c r="BS104" s="1138">
        <v>113079</v>
      </c>
      <c r="BT104" s="1138">
        <v>14316613</v>
      </c>
      <c r="BU104" s="1138">
        <v>1271115</v>
      </c>
      <c r="BV104" s="1138">
        <v>4340579</v>
      </c>
      <c r="BW104" s="1138">
        <v>514660</v>
      </c>
      <c r="BX104" s="1138">
        <v>109764</v>
      </c>
      <c r="BY104" s="1138">
        <v>0</v>
      </c>
      <c r="BZ104" s="1138">
        <v>0</v>
      </c>
      <c r="CA104" s="1138">
        <v>20826889</v>
      </c>
      <c r="CB104" s="1138">
        <v>57667</v>
      </c>
    </row>
    <row r="105" spans="1:80" x14ac:dyDescent="0.3">
      <c r="A105" s="269">
        <v>339</v>
      </c>
      <c r="B105" s="1002">
        <v>339</v>
      </c>
      <c r="C105" s="269" t="s">
        <v>190</v>
      </c>
      <c r="D105" s="269" t="s">
        <v>422</v>
      </c>
      <c r="E105" s="1138">
        <v>42673</v>
      </c>
      <c r="F105" s="1138">
        <v>455094</v>
      </c>
      <c r="G105" s="1138">
        <v>0</v>
      </c>
      <c r="H105" s="1138">
        <v>2068240</v>
      </c>
      <c r="I105" s="1138">
        <v>1095280</v>
      </c>
      <c r="J105" s="1138">
        <v>3124</v>
      </c>
      <c r="K105" s="1138">
        <v>3259</v>
      </c>
      <c r="L105" s="1138">
        <v>171520</v>
      </c>
      <c r="M105" s="1138">
        <v>1158451</v>
      </c>
      <c r="N105" s="1138">
        <v>0</v>
      </c>
      <c r="O105" s="1138">
        <v>108188</v>
      </c>
      <c r="P105" s="1138">
        <v>176338</v>
      </c>
      <c r="Q105" s="1138">
        <v>3312218</v>
      </c>
      <c r="R105" s="1138">
        <v>619788</v>
      </c>
      <c r="S105" s="1138">
        <v>228676</v>
      </c>
      <c r="T105" s="1138">
        <v>2116671</v>
      </c>
      <c r="U105" s="1138">
        <v>0</v>
      </c>
      <c r="V105" s="1138">
        <v>1716064</v>
      </c>
      <c r="W105" s="1138">
        <v>0</v>
      </c>
      <c r="X105" s="1138">
        <v>177845</v>
      </c>
      <c r="Y105" s="1138">
        <v>2564549</v>
      </c>
      <c r="Z105" s="1138">
        <v>1989889</v>
      </c>
      <c r="AA105" s="1138">
        <v>468059</v>
      </c>
      <c r="AB105" s="1138">
        <v>826747</v>
      </c>
      <c r="AC105" s="1138">
        <v>75237</v>
      </c>
      <c r="AD105" s="1138">
        <v>0</v>
      </c>
      <c r="AE105" s="1138">
        <v>39582</v>
      </c>
      <c r="AF105" s="1138">
        <v>407476</v>
      </c>
      <c r="AG105" s="1138">
        <v>0</v>
      </c>
      <c r="AH105" s="1138">
        <v>0</v>
      </c>
      <c r="AI105" s="1138">
        <v>0</v>
      </c>
      <c r="AJ105" s="1138">
        <v>2656</v>
      </c>
      <c r="AK105" s="1138">
        <v>210130</v>
      </c>
      <c r="AL105" s="1138">
        <v>0</v>
      </c>
      <c r="AM105" s="1138">
        <v>600</v>
      </c>
      <c r="AN105" s="1138">
        <v>4133148</v>
      </c>
      <c r="AO105" s="1138">
        <v>1530008</v>
      </c>
      <c r="AP105" s="1138">
        <v>900</v>
      </c>
      <c r="AQ105" s="1138">
        <v>16140</v>
      </c>
      <c r="AR105" s="1138">
        <v>2440171</v>
      </c>
      <c r="AS105" s="1138">
        <v>267372</v>
      </c>
      <c r="AT105" s="1138">
        <v>20038</v>
      </c>
      <c r="AU105" s="1138">
        <v>770010</v>
      </c>
      <c r="AV105" s="1138">
        <v>198419</v>
      </c>
      <c r="AW105" s="1138">
        <v>11718</v>
      </c>
      <c r="AX105" s="1138">
        <v>21295</v>
      </c>
      <c r="AY105" s="1138">
        <v>80085</v>
      </c>
      <c r="AZ105" s="1138">
        <v>352608</v>
      </c>
      <c r="BA105" s="1138">
        <v>464256</v>
      </c>
      <c r="BB105" s="1138">
        <v>20370</v>
      </c>
      <c r="BC105" s="1138">
        <v>0</v>
      </c>
      <c r="BD105" s="1138">
        <v>0</v>
      </c>
      <c r="BE105" s="1138">
        <v>0</v>
      </c>
      <c r="BF105" s="1138">
        <v>0</v>
      </c>
      <c r="BG105" s="1138">
        <v>86902</v>
      </c>
      <c r="BH105" s="1138">
        <v>5395</v>
      </c>
      <c r="BI105" s="1138">
        <v>210350</v>
      </c>
      <c r="BJ105" s="1138">
        <v>137579</v>
      </c>
      <c r="BK105" s="1138">
        <v>0</v>
      </c>
      <c r="BL105" s="1138">
        <v>240673</v>
      </c>
      <c r="BM105" s="1138">
        <v>257991</v>
      </c>
      <c r="BN105" s="1138">
        <v>0</v>
      </c>
      <c r="BO105" s="1138">
        <v>1303905</v>
      </c>
      <c r="BP105" s="1138">
        <v>34905</v>
      </c>
      <c r="BQ105" s="1138">
        <v>9291</v>
      </c>
      <c r="BR105" s="1138">
        <v>291010</v>
      </c>
      <c r="BS105" s="1138">
        <v>46589</v>
      </c>
      <c r="BT105" s="1138">
        <v>2200295</v>
      </c>
      <c r="BU105" s="1138">
        <v>257079</v>
      </c>
      <c r="BV105" s="1138">
        <v>310235</v>
      </c>
      <c r="BW105" s="1138">
        <v>91291</v>
      </c>
      <c r="BX105" s="1138">
        <v>1625</v>
      </c>
      <c r="BY105" s="1138">
        <v>0</v>
      </c>
      <c r="BZ105" s="1138">
        <v>0</v>
      </c>
      <c r="CA105" s="1138">
        <v>1479984</v>
      </c>
      <c r="CB105" s="1138">
        <v>384</v>
      </c>
    </row>
    <row r="106" spans="1:80" x14ac:dyDescent="0.3">
      <c r="B106" s="1002">
        <v>340</v>
      </c>
      <c r="C106" s="269" t="s">
        <v>638</v>
      </c>
      <c r="D106" s="269" t="s">
        <v>423</v>
      </c>
      <c r="E106" s="1138"/>
      <c r="F106" s="1138"/>
      <c r="G106" s="1138"/>
      <c r="H106" s="1138"/>
      <c r="I106" s="1138"/>
      <c r="J106" s="1138"/>
      <c r="K106" s="1138"/>
      <c r="L106" s="1138"/>
      <c r="M106" s="1138"/>
      <c r="N106" s="1138"/>
      <c r="O106" s="1138"/>
      <c r="P106" s="1138"/>
      <c r="Q106" s="1138"/>
      <c r="R106" s="1138"/>
      <c r="S106" s="1138"/>
      <c r="T106" s="1138"/>
      <c r="U106" s="1138"/>
      <c r="V106" s="1138"/>
      <c r="W106" s="1138"/>
      <c r="X106" s="1138"/>
      <c r="Y106" s="1138"/>
      <c r="Z106" s="1138"/>
      <c r="AA106" s="1138"/>
      <c r="AB106" s="1138"/>
      <c r="AC106" s="1138"/>
      <c r="AD106" s="1138"/>
      <c r="AE106" s="1138"/>
      <c r="AF106" s="1138"/>
      <c r="AG106" s="1138"/>
      <c r="AH106" s="1138"/>
      <c r="AI106" s="1138"/>
      <c r="AJ106" s="1138"/>
      <c r="AK106" s="1138"/>
      <c r="AL106" s="1138"/>
      <c r="AM106" s="1138"/>
      <c r="AN106" s="1138"/>
      <c r="AO106" s="1138"/>
      <c r="AP106" s="1138"/>
      <c r="AQ106" s="1138"/>
      <c r="AR106" s="1138"/>
      <c r="AS106" s="1138"/>
      <c r="AT106" s="1138"/>
      <c r="AU106" s="1138"/>
      <c r="AV106" s="1138"/>
      <c r="AW106" s="1138"/>
      <c r="AX106" s="1138"/>
      <c r="AY106" s="1138"/>
      <c r="AZ106" s="1138"/>
      <c r="BA106" s="1138"/>
      <c r="BB106" s="1138"/>
      <c r="BC106" s="1138"/>
      <c r="BD106" s="1138"/>
      <c r="BE106" s="1138"/>
      <c r="BF106" s="1138"/>
      <c r="BG106" s="1138"/>
      <c r="BH106" s="1138"/>
      <c r="BI106" s="1138"/>
      <c r="BJ106" s="1138"/>
      <c r="BK106" s="1138"/>
      <c r="BL106" s="1138"/>
      <c r="BM106" s="1138"/>
      <c r="BN106" s="1138"/>
      <c r="BO106" s="1138"/>
      <c r="BP106" s="1138"/>
      <c r="BQ106" s="1138"/>
      <c r="BR106" s="1138"/>
      <c r="BS106" s="1138"/>
      <c r="BT106" s="1138"/>
      <c r="BU106" s="1138"/>
      <c r="BV106" s="1138"/>
      <c r="BW106" s="1138"/>
      <c r="BX106" s="1138"/>
      <c r="BY106" s="1138"/>
      <c r="BZ106" s="1138"/>
      <c r="CA106" s="1138"/>
      <c r="CB106" s="1138"/>
    </row>
    <row r="107" spans="1:80" x14ac:dyDescent="0.3">
      <c r="A107" s="269">
        <v>341</v>
      </c>
      <c r="B107" s="1002">
        <v>341</v>
      </c>
      <c r="C107" s="269" t="s">
        <v>193</v>
      </c>
      <c r="D107" s="269" t="s">
        <v>424</v>
      </c>
      <c r="E107" s="1138">
        <v>1941715</v>
      </c>
      <c r="F107" s="1138">
        <v>12652307</v>
      </c>
      <c r="G107" s="1138">
        <v>0</v>
      </c>
      <c r="H107" s="1138">
        <v>42303068</v>
      </c>
      <c r="I107" s="1138">
        <v>3454246</v>
      </c>
      <c r="J107" s="1138">
        <v>248063</v>
      </c>
      <c r="K107" s="1138">
        <v>1318916</v>
      </c>
      <c r="L107" s="1138">
        <v>1647891</v>
      </c>
      <c r="M107" s="1138">
        <v>41524496</v>
      </c>
      <c r="N107" s="1138">
        <v>91385</v>
      </c>
      <c r="O107" s="1138">
        <v>755447</v>
      </c>
      <c r="P107" s="1138">
        <v>1330636</v>
      </c>
      <c r="Q107" s="1138">
        <v>27083191</v>
      </c>
      <c r="R107" s="1138">
        <v>17318039</v>
      </c>
      <c r="S107" s="1138">
        <v>4923386</v>
      </c>
      <c r="T107" s="1138">
        <v>11825533</v>
      </c>
      <c r="U107" s="1138">
        <v>0</v>
      </c>
      <c r="V107" s="1138">
        <v>19767988</v>
      </c>
      <c r="W107" s="1138">
        <v>23230</v>
      </c>
      <c r="X107" s="1138">
        <v>8830752</v>
      </c>
      <c r="Y107" s="1138">
        <v>12529978</v>
      </c>
      <c r="Z107" s="1138">
        <v>3994858</v>
      </c>
      <c r="AA107" s="1138">
        <v>1337626</v>
      </c>
      <c r="AB107" s="1138">
        <v>4445871</v>
      </c>
      <c r="AC107" s="1138">
        <v>1098235</v>
      </c>
      <c r="AD107" s="1138">
        <v>394563</v>
      </c>
      <c r="AE107" s="1138">
        <v>1174573</v>
      </c>
      <c r="AF107" s="1138">
        <v>3080801</v>
      </c>
      <c r="AG107" s="1138">
        <v>109422</v>
      </c>
      <c r="AH107" s="1138">
        <v>44483</v>
      </c>
      <c r="AI107" s="1138">
        <v>77867</v>
      </c>
      <c r="AJ107" s="1138">
        <v>2598534</v>
      </c>
      <c r="AK107" s="1138">
        <v>6990437</v>
      </c>
      <c r="AL107" s="1138">
        <v>135341</v>
      </c>
      <c r="AM107" s="1138">
        <v>26834</v>
      </c>
      <c r="AN107" s="1138">
        <v>12669021</v>
      </c>
      <c r="AO107" s="1138">
        <v>16560724</v>
      </c>
      <c r="AP107" s="1138">
        <v>288549</v>
      </c>
      <c r="AQ107" s="1138">
        <v>4457270</v>
      </c>
      <c r="AR107" s="1138">
        <v>18401507</v>
      </c>
      <c r="AS107" s="1138">
        <v>2366017</v>
      </c>
      <c r="AT107" s="1138">
        <v>584689</v>
      </c>
      <c r="AU107" s="1138">
        <v>3451078</v>
      </c>
      <c r="AV107" s="1138">
        <v>9701322</v>
      </c>
      <c r="AW107" s="1138">
        <v>72062</v>
      </c>
      <c r="AX107" s="1138">
        <v>467247</v>
      </c>
      <c r="AY107" s="1138">
        <v>3043994</v>
      </c>
      <c r="AZ107" s="1138">
        <v>3310182</v>
      </c>
      <c r="BA107" s="1138">
        <v>2357152</v>
      </c>
      <c r="BB107" s="1138">
        <v>67192</v>
      </c>
      <c r="BC107" s="1138">
        <v>0</v>
      </c>
      <c r="BD107" s="1138">
        <v>0</v>
      </c>
      <c r="BE107" s="1138">
        <v>85127</v>
      </c>
      <c r="BF107" s="1138">
        <v>0</v>
      </c>
      <c r="BG107" s="1138">
        <v>395667</v>
      </c>
      <c r="BH107" s="1138">
        <v>58213</v>
      </c>
      <c r="BI107" s="1138">
        <v>2776873</v>
      </c>
      <c r="BJ107" s="1138">
        <v>2502681</v>
      </c>
      <c r="BK107" s="1138">
        <v>0</v>
      </c>
      <c r="BL107" s="1138">
        <v>8094085</v>
      </c>
      <c r="BM107" s="1138">
        <v>4320448</v>
      </c>
      <c r="BN107" s="1138">
        <v>48783</v>
      </c>
      <c r="BO107" s="1138">
        <v>5075010</v>
      </c>
      <c r="BP107" s="1138">
        <v>1945917</v>
      </c>
      <c r="BQ107" s="1138">
        <v>893422</v>
      </c>
      <c r="BR107" s="1138">
        <v>1531237</v>
      </c>
      <c r="BS107" s="1138">
        <v>1290268</v>
      </c>
      <c r="BT107" s="1138">
        <v>20681684</v>
      </c>
      <c r="BU107" s="1138">
        <v>1808904</v>
      </c>
      <c r="BV107" s="1138">
        <v>2317413</v>
      </c>
      <c r="BW107" s="1138">
        <v>703431</v>
      </c>
      <c r="BX107" s="1138">
        <v>921443</v>
      </c>
      <c r="BY107" s="1138">
        <v>35185</v>
      </c>
      <c r="BZ107" s="1138">
        <v>43501</v>
      </c>
      <c r="CA107" s="1138">
        <v>16002972</v>
      </c>
      <c r="CB107" s="1138">
        <v>68728</v>
      </c>
    </row>
    <row r="108" spans="1:80" x14ac:dyDescent="0.3">
      <c r="B108" s="1002">
        <v>342</v>
      </c>
      <c r="C108" s="269" t="s">
        <v>639</v>
      </c>
      <c r="D108" s="269" t="s">
        <v>425</v>
      </c>
      <c r="E108" s="1138"/>
      <c r="F108" s="1138"/>
      <c r="G108" s="1138"/>
      <c r="H108" s="1138"/>
      <c r="I108" s="1138"/>
      <c r="J108" s="1138"/>
      <c r="K108" s="1138"/>
      <c r="L108" s="1138"/>
      <c r="M108" s="1138"/>
      <c r="N108" s="1138"/>
      <c r="O108" s="1138"/>
      <c r="P108" s="1138"/>
      <c r="Q108" s="1138"/>
      <c r="R108" s="1138"/>
      <c r="S108" s="1138"/>
      <c r="T108" s="1138"/>
      <c r="U108" s="1138"/>
      <c r="V108" s="1138"/>
      <c r="W108" s="1138"/>
      <c r="X108" s="1138"/>
      <c r="Y108" s="1138"/>
      <c r="Z108" s="1138"/>
      <c r="AA108" s="1138"/>
      <c r="AB108" s="1138"/>
      <c r="AC108" s="1138"/>
      <c r="AD108" s="1138"/>
      <c r="AE108" s="1138"/>
      <c r="AF108" s="1138"/>
      <c r="AG108" s="1138"/>
      <c r="AH108" s="1138"/>
      <c r="AI108" s="1138"/>
      <c r="AJ108" s="1138"/>
      <c r="AK108" s="1138"/>
      <c r="AL108" s="1138"/>
      <c r="AM108" s="1138"/>
      <c r="AN108" s="1138"/>
      <c r="AO108" s="1138"/>
      <c r="AP108" s="1138"/>
      <c r="AQ108" s="1138"/>
      <c r="AR108" s="1138"/>
      <c r="AS108" s="1138"/>
      <c r="AT108" s="1138"/>
      <c r="AU108" s="1138"/>
      <c r="AV108" s="1138"/>
      <c r="AW108" s="1138"/>
      <c r="AX108" s="1138"/>
      <c r="AY108" s="1138"/>
      <c r="AZ108" s="1138"/>
      <c r="BA108" s="1138"/>
      <c r="BB108" s="1138"/>
      <c r="BC108" s="1138"/>
      <c r="BD108" s="1138"/>
      <c r="BE108" s="1138"/>
      <c r="BF108" s="1138"/>
      <c r="BG108" s="1138"/>
      <c r="BH108" s="1138"/>
      <c r="BI108" s="1138"/>
      <c r="BJ108" s="1138"/>
      <c r="BK108" s="1138"/>
      <c r="BL108" s="1138"/>
      <c r="BM108" s="1138"/>
      <c r="BN108" s="1138"/>
      <c r="BO108" s="1138"/>
      <c r="BP108" s="1138"/>
      <c r="BQ108" s="1138"/>
      <c r="BR108" s="1138"/>
      <c r="BS108" s="1138"/>
      <c r="BT108" s="1138"/>
      <c r="BU108" s="1138"/>
      <c r="BV108" s="1138"/>
      <c r="BW108" s="1138"/>
      <c r="BX108" s="1138"/>
      <c r="BY108" s="1138"/>
      <c r="BZ108" s="1138"/>
      <c r="CA108" s="1138"/>
      <c r="CB108" s="1138"/>
    </row>
    <row r="109" spans="1:80" x14ac:dyDescent="0.3">
      <c r="A109" s="269">
        <v>343</v>
      </c>
      <c r="B109" s="1002">
        <v>343</v>
      </c>
      <c r="C109" s="269" t="s">
        <v>255</v>
      </c>
      <c r="D109" s="269" t="s">
        <v>426</v>
      </c>
      <c r="E109" s="1138">
        <v>27930</v>
      </c>
      <c r="F109" s="1138">
        <v>1433321</v>
      </c>
      <c r="G109" s="1138">
        <v>0</v>
      </c>
      <c r="H109" s="1138">
        <v>4233455</v>
      </c>
      <c r="I109" s="1138">
        <v>171188</v>
      </c>
      <c r="J109" s="1138">
        <v>0</v>
      </c>
      <c r="K109" s="1138">
        <v>0</v>
      </c>
      <c r="L109" s="1138">
        <v>41406</v>
      </c>
      <c r="M109" s="1138">
        <v>5321499</v>
      </c>
      <c r="N109" s="1138">
        <v>0</v>
      </c>
      <c r="O109" s="1138">
        <v>10548</v>
      </c>
      <c r="P109" s="1138">
        <v>24528</v>
      </c>
      <c r="Q109" s="1138">
        <v>3608502</v>
      </c>
      <c r="R109" s="1138">
        <v>2800976</v>
      </c>
      <c r="S109" s="1138">
        <v>428488</v>
      </c>
      <c r="T109" s="1138">
        <v>578123</v>
      </c>
      <c r="U109" s="1138">
        <v>0</v>
      </c>
      <c r="V109" s="1138">
        <v>633916</v>
      </c>
      <c r="W109" s="1138">
        <v>0</v>
      </c>
      <c r="X109" s="1138">
        <v>1999800</v>
      </c>
      <c r="Y109" s="1138">
        <v>593582</v>
      </c>
      <c r="Z109" s="1138">
        <v>647187</v>
      </c>
      <c r="AA109" s="1138">
        <v>90838</v>
      </c>
      <c r="AB109" s="1138">
        <v>254618</v>
      </c>
      <c r="AC109" s="1138">
        <v>0</v>
      </c>
      <c r="AD109" s="1138">
        <v>4894</v>
      </c>
      <c r="AE109" s="1138">
        <v>66983</v>
      </c>
      <c r="AF109" s="1138">
        <v>186396</v>
      </c>
      <c r="AG109" s="1138">
        <v>5052</v>
      </c>
      <c r="AH109" s="1138">
        <v>0</v>
      </c>
      <c r="AI109" s="1138">
        <v>0</v>
      </c>
      <c r="AJ109" s="1138">
        <v>0</v>
      </c>
      <c r="AK109" s="1138">
        <v>446959</v>
      </c>
      <c r="AL109" s="1138">
        <v>0</v>
      </c>
      <c r="AM109" s="1138">
        <v>0</v>
      </c>
      <c r="AN109" s="1138">
        <v>1323064</v>
      </c>
      <c r="AO109" s="1138">
        <v>771877</v>
      </c>
      <c r="AP109" s="1138">
        <v>0</v>
      </c>
      <c r="AQ109" s="1138">
        <v>186666</v>
      </c>
      <c r="AR109" s="1138">
        <v>903132</v>
      </c>
      <c r="AS109" s="1138">
        <v>35334</v>
      </c>
      <c r="AT109" s="1138">
        <v>96773</v>
      </c>
      <c r="AU109" s="1138">
        <v>2689931</v>
      </c>
      <c r="AV109" s="1138">
        <v>357077</v>
      </c>
      <c r="AW109" s="1138">
        <v>0</v>
      </c>
      <c r="AX109" s="1138">
        <v>2555</v>
      </c>
      <c r="AY109" s="1138">
        <v>73490</v>
      </c>
      <c r="AZ109" s="1138">
        <v>72734</v>
      </c>
      <c r="BA109" s="1138">
        <v>109142</v>
      </c>
      <c r="BB109" s="1138">
        <v>0</v>
      </c>
      <c r="BC109" s="1138">
        <v>0</v>
      </c>
      <c r="BD109" s="1138">
        <v>0</v>
      </c>
      <c r="BE109" s="1138">
        <v>0</v>
      </c>
      <c r="BF109" s="1138">
        <v>0</v>
      </c>
      <c r="BG109" s="1138">
        <v>0</v>
      </c>
      <c r="BH109" s="1138">
        <v>0</v>
      </c>
      <c r="BI109" s="1138">
        <v>35423</v>
      </c>
      <c r="BJ109" s="1138">
        <v>189542</v>
      </c>
      <c r="BK109" s="1138">
        <v>0</v>
      </c>
      <c r="BL109" s="1138">
        <v>218334</v>
      </c>
      <c r="BM109" s="1138">
        <v>0</v>
      </c>
      <c r="BN109" s="1138">
        <v>0</v>
      </c>
      <c r="BO109" s="1138">
        <v>182783</v>
      </c>
      <c r="BP109" s="1138">
        <v>0</v>
      </c>
      <c r="BQ109" s="1138">
        <v>11753</v>
      </c>
      <c r="BR109" s="1138">
        <v>0</v>
      </c>
      <c r="BS109" s="1138">
        <v>0</v>
      </c>
      <c r="BT109" s="1138">
        <v>1181049</v>
      </c>
      <c r="BU109" s="1138">
        <v>44934</v>
      </c>
      <c r="BV109" s="1138">
        <v>78387</v>
      </c>
      <c r="BW109" s="1138">
        <v>80845</v>
      </c>
      <c r="BX109" s="1138">
        <v>0</v>
      </c>
      <c r="BY109" s="1138">
        <v>0</v>
      </c>
      <c r="BZ109" s="1138">
        <v>0</v>
      </c>
      <c r="CA109" s="1138">
        <v>1347646</v>
      </c>
      <c r="CB109" s="1138">
        <v>2436</v>
      </c>
    </row>
    <row r="110" spans="1:80" x14ac:dyDescent="0.3">
      <c r="A110" s="269">
        <v>344</v>
      </c>
      <c r="B110" s="1002">
        <v>344</v>
      </c>
      <c r="C110" s="269" t="s">
        <v>188</v>
      </c>
      <c r="D110" s="269" t="s">
        <v>427</v>
      </c>
      <c r="E110" s="1138">
        <v>4871</v>
      </c>
      <c r="F110" s="1138">
        <v>309637</v>
      </c>
      <c r="G110" s="1138">
        <v>0</v>
      </c>
      <c r="H110" s="1138">
        <v>608384</v>
      </c>
      <c r="I110" s="1138">
        <v>22947</v>
      </c>
      <c r="J110" s="1138">
        <v>0</v>
      </c>
      <c r="K110" s="1138">
        <v>0</v>
      </c>
      <c r="L110" s="1138">
        <v>54150</v>
      </c>
      <c r="M110" s="1138">
        <v>3104497</v>
      </c>
      <c r="N110" s="1138">
        <v>0</v>
      </c>
      <c r="O110" s="1138">
        <v>0</v>
      </c>
      <c r="P110" s="1138">
        <v>18578</v>
      </c>
      <c r="Q110" s="1138">
        <v>626954</v>
      </c>
      <c r="R110" s="1138">
        <v>257907</v>
      </c>
      <c r="S110" s="1138">
        <v>37026</v>
      </c>
      <c r="T110" s="1138">
        <v>48122</v>
      </c>
      <c r="U110" s="1138">
        <v>0</v>
      </c>
      <c r="V110" s="1138">
        <v>328206</v>
      </c>
      <c r="W110" s="1138">
        <v>0</v>
      </c>
      <c r="X110" s="1138">
        <v>132987</v>
      </c>
      <c r="Y110" s="1138">
        <v>253289</v>
      </c>
      <c r="Z110" s="1138">
        <v>169021</v>
      </c>
      <c r="AA110" s="1138">
        <v>5749</v>
      </c>
      <c r="AB110" s="1138">
        <v>27945</v>
      </c>
      <c r="AC110" s="1138">
        <v>0</v>
      </c>
      <c r="AD110" s="1138">
        <v>0</v>
      </c>
      <c r="AE110" s="1138">
        <v>3757</v>
      </c>
      <c r="AF110" s="1138">
        <v>83133</v>
      </c>
      <c r="AG110" s="1138">
        <v>0</v>
      </c>
      <c r="AH110" s="1138">
        <v>0</v>
      </c>
      <c r="AI110" s="1138">
        <v>0</v>
      </c>
      <c r="AJ110" s="1138">
        <v>0</v>
      </c>
      <c r="AK110" s="1138">
        <v>157134</v>
      </c>
      <c r="AL110" s="1138">
        <v>0</v>
      </c>
      <c r="AM110" s="1138">
        <v>0</v>
      </c>
      <c r="AN110" s="1138">
        <v>292645</v>
      </c>
      <c r="AO110" s="1138">
        <v>14900</v>
      </c>
      <c r="AP110" s="1138">
        <v>0</v>
      </c>
      <c r="AQ110" s="1138">
        <v>20058</v>
      </c>
      <c r="AR110" s="1138">
        <v>191366</v>
      </c>
      <c r="AS110" s="1138">
        <v>11258</v>
      </c>
      <c r="AT110" s="1138">
        <v>10898</v>
      </c>
      <c r="AU110" s="1138">
        <v>121841</v>
      </c>
      <c r="AV110" s="1138">
        <v>36502</v>
      </c>
      <c r="AW110" s="1138">
        <v>0</v>
      </c>
      <c r="AX110" s="1138">
        <v>959</v>
      </c>
      <c r="AY110" s="1138">
        <v>124210</v>
      </c>
      <c r="AZ110" s="1138">
        <v>5501</v>
      </c>
      <c r="BA110" s="1138">
        <v>18875</v>
      </c>
      <c r="BB110" s="1138">
        <v>0</v>
      </c>
      <c r="BC110" s="1138">
        <v>0</v>
      </c>
      <c r="BD110" s="1138">
        <v>0</v>
      </c>
      <c r="BE110" s="1138">
        <v>0</v>
      </c>
      <c r="BF110" s="1138">
        <v>0</v>
      </c>
      <c r="BG110" s="1138">
        <v>0</v>
      </c>
      <c r="BH110" s="1138">
        <v>0</v>
      </c>
      <c r="BI110" s="1138">
        <v>3403</v>
      </c>
      <c r="BJ110" s="1138">
        <v>5143</v>
      </c>
      <c r="BK110" s="1138">
        <v>0</v>
      </c>
      <c r="BL110" s="1138">
        <v>58437</v>
      </c>
      <c r="BM110" s="1138">
        <v>0</v>
      </c>
      <c r="BN110" s="1138">
        <v>0</v>
      </c>
      <c r="BO110" s="1138">
        <v>36284</v>
      </c>
      <c r="BP110" s="1138">
        <v>0</v>
      </c>
      <c r="BQ110" s="1138">
        <v>551</v>
      </c>
      <c r="BR110" s="1138">
        <v>0</v>
      </c>
      <c r="BS110" s="1138">
        <v>0</v>
      </c>
      <c r="BT110" s="1138">
        <v>192925</v>
      </c>
      <c r="BU110" s="1138">
        <v>18453</v>
      </c>
      <c r="BV110" s="1138">
        <v>9272</v>
      </c>
      <c r="BW110" s="1138">
        <v>2355</v>
      </c>
      <c r="BX110" s="1138">
        <v>0</v>
      </c>
      <c r="BY110" s="1138">
        <v>0</v>
      </c>
      <c r="BZ110" s="1138">
        <v>0</v>
      </c>
      <c r="CA110" s="1138">
        <v>281751</v>
      </c>
      <c r="CB110" s="1138">
        <v>2520</v>
      </c>
    </row>
    <row r="111" spans="1:80" x14ac:dyDescent="0.3">
      <c r="B111" s="1002">
        <v>346</v>
      </c>
      <c r="C111" s="269" t="s">
        <v>640</v>
      </c>
      <c r="D111" s="269" t="s">
        <v>428</v>
      </c>
      <c r="E111" s="1138">
        <v>0</v>
      </c>
      <c r="F111" s="1138">
        <v>0</v>
      </c>
      <c r="G111" s="1138">
        <v>0</v>
      </c>
      <c r="H111" s="1138">
        <v>0</v>
      </c>
      <c r="I111" s="1138">
        <v>0</v>
      </c>
      <c r="J111" s="1138">
        <v>0</v>
      </c>
      <c r="K111" s="1138">
        <v>0</v>
      </c>
      <c r="L111" s="1138">
        <v>0</v>
      </c>
      <c r="M111" s="1138">
        <v>0</v>
      </c>
      <c r="N111" s="1138">
        <v>0</v>
      </c>
      <c r="O111" s="1138">
        <v>0</v>
      </c>
      <c r="P111" s="1138">
        <v>0</v>
      </c>
      <c r="Q111" s="1138">
        <v>0</v>
      </c>
      <c r="R111" s="1138">
        <v>0</v>
      </c>
      <c r="S111" s="1138">
        <v>0</v>
      </c>
      <c r="T111" s="1138">
        <v>0</v>
      </c>
      <c r="U111" s="1138">
        <v>0</v>
      </c>
      <c r="V111" s="1138">
        <v>0</v>
      </c>
      <c r="W111" s="1138">
        <v>0</v>
      </c>
      <c r="X111" s="1138">
        <v>0</v>
      </c>
      <c r="Y111" s="1138">
        <v>0</v>
      </c>
      <c r="Z111" s="1138">
        <v>0</v>
      </c>
      <c r="AA111" s="1138">
        <v>0</v>
      </c>
      <c r="AB111" s="1138">
        <v>0</v>
      </c>
      <c r="AC111" s="1138">
        <v>0</v>
      </c>
      <c r="AD111" s="1138">
        <v>0</v>
      </c>
      <c r="AE111" s="1138">
        <v>0</v>
      </c>
      <c r="AF111" s="1138">
        <v>0</v>
      </c>
      <c r="AG111" s="1138">
        <v>0</v>
      </c>
      <c r="AH111" s="1138">
        <v>0</v>
      </c>
      <c r="AI111" s="1138">
        <v>0</v>
      </c>
      <c r="AJ111" s="1138">
        <v>0</v>
      </c>
      <c r="AK111" s="1138">
        <v>0</v>
      </c>
      <c r="AL111" s="1138">
        <v>0</v>
      </c>
      <c r="AM111" s="1138">
        <v>0</v>
      </c>
      <c r="AN111" s="1138">
        <v>0</v>
      </c>
      <c r="AO111" s="1138">
        <v>0</v>
      </c>
      <c r="AP111" s="1138">
        <v>0</v>
      </c>
      <c r="AQ111" s="1138">
        <v>0</v>
      </c>
      <c r="AR111" s="1138">
        <v>0</v>
      </c>
      <c r="AS111" s="1138">
        <v>0</v>
      </c>
      <c r="AT111" s="1138">
        <v>0</v>
      </c>
      <c r="AU111" s="1138">
        <v>0</v>
      </c>
      <c r="AV111" s="1138">
        <v>0</v>
      </c>
      <c r="AW111" s="1138">
        <v>0</v>
      </c>
      <c r="AX111" s="1138">
        <v>0</v>
      </c>
      <c r="AY111" s="1138">
        <v>0</v>
      </c>
      <c r="AZ111" s="1138">
        <v>0</v>
      </c>
      <c r="BA111" s="1138">
        <v>0</v>
      </c>
      <c r="BB111" s="1138">
        <v>0</v>
      </c>
      <c r="BC111" s="1138">
        <v>0</v>
      </c>
      <c r="BD111" s="1138">
        <v>0</v>
      </c>
      <c r="BE111" s="1138">
        <v>0</v>
      </c>
      <c r="BF111" s="1138">
        <v>0</v>
      </c>
      <c r="BG111" s="1138">
        <v>0</v>
      </c>
      <c r="BH111" s="1138">
        <v>0</v>
      </c>
      <c r="BI111" s="1138">
        <v>0</v>
      </c>
      <c r="BJ111" s="1138">
        <v>0</v>
      </c>
      <c r="BK111" s="1138">
        <v>0</v>
      </c>
      <c r="BL111" s="1138">
        <v>0</v>
      </c>
      <c r="BM111" s="1138">
        <v>0</v>
      </c>
      <c r="BN111" s="1138">
        <v>0</v>
      </c>
      <c r="BO111" s="1138">
        <v>0</v>
      </c>
      <c r="BP111" s="1138">
        <v>0</v>
      </c>
      <c r="BQ111" s="1138">
        <v>0</v>
      </c>
      <c r="BR111" s="1138">
        <v>0</v>
      </c>
      <c r="BS111" s="1138">
        <v>0</v>
      </c>
      <c r="BT111" s="1138">
        <v>0</v>
      </c>
      <c r="BU111" s="1138">
        <v>0</v>
      </c>
      <c r="BV111" s="1138">
        <v>0</v>
      </c>
      <c r="BW111" s="1138">
        <v>0</v>
      </c>
      <c r="BX111" s="1138">
        <v>0</v>
      </c>
      <c r="BY111" s="1138">
        <v>0</v>
      </c>
      <c r="BZ111" s="1138">
        <v>0</v>
      </c>
      <c r="CA111" s="1138">
        <v>0</v>
      </c>
      <c r="CB111" s="1138">
        <v>0</v>
      </c>
    </row>
    <row r="112" spans="1:80" x14ac:dyDescent="0.3">
      <c r="B112" s="1002">
        <v>347</v>
      </c>
      <c r="C112" s="269" t="s">
        <v>641</v>
      </c>
      <c r="D112" s="269" t="s">
        <v>429</v>
      </c>
      <c r="E112" s="1138">
        <v>0</v>
      </c>
      <c r="F112" s="1138">
        <v>0</v>
      </c>
      <c r="G112" s="1138">
        <v>0</v>
      </c>
      <c r="H112" s="1138">
        <v>0</v>
      </c>
      <c r="I112" s="1138">
        <v>0</v>
      </c>
      <c r="J112" s="1138">
        <v>0</v>
      </c>
      <c r="K112" s="1138">
        <v>0</v>
      </c>
      <c r="L112" s="1138">
        <v>0</v>
      </c>
      <c r="M112" s="1138">
        <v>0</v>
      </c>
      <c r="N112" s="1138">
        <v>0</v>
      </c>
      <c r="O112" s="1138">
        <v>0</v>
      </c>
      <c r="P112" s="1138">
        <v>0</v>
      </c>
      <c r="Q112" s="1138">
        <v>0</v>
      </c>
      <c r="R112" s="1138">
        <v>0</v>
      </c>
      <c r="S112" s="1138">
        <v>0</v>
      </c>
      <c r="T112" s="1138">
        <v>0</v>
      </c>
      <c r="U112" s="1138">
        <v>0</v>
      </c>
      <c r="V112" s="1138">
        <v>0</v>
      </c>
      <c r="W112" s="1138">
        <v>0</v>
      </c>
      <c r="X112" s="1138">
        <v>0</v>
      </c>
      <c r="Y112" s="1138">
        <v>0</v>
      </c>
      <c r="Z112" s="1138">
        <v>0</v>
      </c>
      <c r="AA112" s="1138">
        <v>0</v>
      </c>
      <c r="AB112" s="1138">
        <v>0</v>
      </c>
      <c r="AC112" s="1138">
        <v>0</v>
      </c>
      <c r="AD112" s="1138">
        <v>0</v>
      </c>
      <c r="AE112" s="1138">
        <v>0</v>
      </c>
      <c r="AF112" s="1138">
        <v>0</v>
      </c>
      <c r="AG112" s="1138">
        <v>0</v>
      </c>
      <c r="AH112" s="1138">
        <v>0</v>
      </c>
      <c r="AI112" s="1138">
        <v>0</v>
      </c>
      <c r="AJ112" s="1138">
        <v>0</v>
      </c>
      <c r="AK112" s="1138">
        <v>0</v>
      </c>
      <c r="AL112" s="1138">
        <v>0</v>
      </c>
      <c r="AM112" s="1138">
        <v>0</v>
      </c>
      <c r="AN112" s="1138">
        <v>0</v>
      </c>
      <c r="AO112" s="1138">
        <v>0</v>
      </c>
      <c r="AP112" s="1138">
        <v>0</v>
      </c>
      <c r="AQ112" s="1138">
        <v>0</v>
      </c>
      <c r="AR112" s="1138">
        <v>0</v>
      </c>
      <c r="AS112" s="1138">
        <v>0</v>
      </c>
      <c r="AT112" s="1138">
        <v>0</v>
      </c>
      <c r="AU112" s="1138">
        <v>0</v>
      </c>
      <c r="AV112" s="1138">
        <v>0</v>
      </c>
      <c r="AW112" s="1138">
        <v>0</v>
      </c>
      <c r="AX112" s="1138">
        <v>0</v>
      </c>
      <c r="AY112" s="1138">
        <v>0</v>
      </c>
      <c r="AZ112" s="1138">
        <v>0</v>
      </c>
      <c r="BA112" s="1138">
        <v>0</v>
      </c>
      <c r="BB112" s="1138">
        <v>0</v>
      </c>
      <c r="BC112" s="1138">
        <v>0</v>
      </c>
      <c r="BD112" s="1138">
        <v>0</v>
      </c>
      <c r="BE112" s="1138">
        <v>0</v>
      </c>
      <c r="BF112" s="1138">
        <v>0</v>
      </c>
      <c r="BG112" s="1138">
        <v>0</v>
      </c>
      <c r="BH112" s="1138">
        <v>0</v>
      </c>
      <c r="BI112" s="1138">
        <v>0</v>
      </c>
      <c r="BJ112" s="1138">
        <v>0</v>
      </c>
      <c r="BK112" s="1138">
        <v>0</v>
      </c>
      <c r="BL112" s="1138">
        <v>0</v>
      </c>
      <c r="BM112" s="1138">
        <v>0</v>
      </c>
      <c r="BN112" s="1138">
        <v>0</v>
      </c>
      <c r="BO112" s="1138">
        <v>0</v>
      </c>
      <c r="BP112" s="1138">
        <v>0</v>
      </c>
      <c r="BQ112" s="1138">
        <v>0</v>
      </c>
      <c r="BR112" s="1138">
        <v>0</v>
      </c>
      <c r="BS112" s="1138">
        <v>0</v>
      </c>
      <c r="BT112" s="1138">
        <v>0</v>
      </c>
      <c r="BU112" s="1138">
        <v>0</v>
      </c>
      <c r="BV112" s="1138">
        <v>0</v>
      </c>
      <c r="BW112" s="1138">
        <v>0</v>
      </c>
      <c r="BX112" s="1138">
        <v>0</v>
      </c>
      <c r="BY112" s="1138">
        <v>0</v>
      </c>
      <c r="BZ112" s="1138">
        <v>0</v>
      </c>
      <c r="CA112" s="1138">
        <v>0</v>
      </c>
      <c r="CB112" s="1138">
        <v>0</v>
      </c>
    </row>
    <row r="113" spans="1:80" x14ac:dyDescent="0.3">
      <c r="A113" s="269">
        <v>349</v>
      </c>
      <c r="B113" s="1002">
        <v>349</v>
      </c>
      <c r="C113" s="269" t="s">
        <v>122</v>
      </c>
      <c r="D113" s="269" t="s">
        <v>430</v>
      </c>
      <c r="E113" s="1138">
        <v>0</v>
      </c>
      <c r="F113" s="1138">
        <v>0</v>
      </c>
      <c r="G113" s="1138">
        <v>0</v>
      </c>
      <c r="H113" s="1138">
        <v>69229999</v>
      </c>
      <c r="I113" s="1138">
        <v>2361271</v>
      </c>
      <c r="J113" s="1138">
        <v>316767</v>
      </c>
      <c r="K113" s="1138">
        <v>172519</v>
      </c>
      <c r="L113" s="1138">
        <v>3045678</v>
      </c>
      <c r="M113" s="1138">
        <v>59721528</v>
      </c>
      <c r="N113" s="1138">
        <v>0</v>
      </c>
      <c r="O113" s="1138">
        <v>757901</v>
      </c>
      <c r="P113" s="1138">
        <v>205493</v>
      </c>
      <c r="Q113" s="1138">
        <v>0</v>
      </c>
      <c r="R113" s="1138">
        <v>2349882</v>
      </c>
      <c r="S113" s="1138">
        <v>12924097</v>
      </c>
      <c r="T113" s="1138">
        <v>27613002</v>
      </c>
      <c r="U113" s="1138">
        <v>0</v>
      </c>
      <c r="V113" s="1138">
        <v>13350579</v>
      </c>
      <c r="W113" s="1138">
        <v>0</v>
      </c>
      <c r="X113" s="1138">
        <v>0</v>
      </c>
      <c r="Y113" s="1138">
        <v>478922</v>
      </c>
      <c r="Z113" s="1138">
        <v>2180588</v>
      </c>
      <c r="AA113" s="1138">
        <v>720091</v>
      </c>
      <c r="AB113" s="1138">
        <v>1624831</v>
      </c>
      <c r="AC113" s="1138">
        <v>0</v>
      </c>
      <c r="AD113" s="1138">
        <v>24779</v>
      </c>
      <c r="AE113" s="1138">
        <v>1484656</v>
      </c>
      <c r="AF113" s="1138">
        <v>5755833</v>
      </c>
      <c r="AG113" s="1138">
        <v>4085</v>
      </c>
      <c r="AH113" s="1138">
        <v>0</v>
      </c>
      <c r="AI113" s="1138">
        <v>0</v>
      </c>
      <c r="AJ113" s="1138">
        <v>92649</v>
      </c>
      <c r="AK113" s="1138">
        <v>6398135</v>
      </c>
      <c r="AL113" s="1138">
        <v>43923</v>
      </c>
      <c r="AM113" s="1138">
        <v>0</v>
      </c>
      <c r="AN113" s="1138">
        <v>7291039</v>
      </c>
      <c r="AO113" s="1138">
        <v>21744327</v>
      </c>
      <c r="AP113" s="1138">
        <v>21427</v>
      </c>
      <c r="AQ113" s="1138">
        <v>0</v>
      </c>
      <c r="AR113" s="1138">
        <v>3483628</v>
      </c>
      <c r="AS113" s="1138">
        <v>294761</v>
      </c>
      <c r="AT113" s="1138">
        <v>429950</v>
      </c>
      <c r="AU113" s="1138">
        <v>716297</v>
      </c>
      <c r="AV113" s="1138">
        <v>11919175</v>
      </c>
      <c r="AW113" s="1138">
        <v>254345</v>
      </c>
      <c r="AX113" s="1138">
        <v>317240</v>
      </c>
      <c r="AY113" s="1138">
        <v>820040</v>
      </c>
      <c r="AZ113" s="1138">
        <v>456512</v>
      </c>
      <c r="BA113" s="1138">
        <v>4551376</v>
      </c>
      <c r="BB113" s="1138">
        <v>0</v>
      </c>
      <c r="BC113" s="1138">
        <v>0</v>
      </c>
      <c r="BD113" s="1138">
        <v>0</v>
      </c>
      <c r="BE113" s="1138">
        <v>0</v>
      </c>
      <c r="BF113" s="1138">
        <v>0</v>
      </c>
      <c r="BG113" s="1138">
        <v>102273</v>
      </c>
      <c r="BH113" s="1138">
        <v>0</v>
      </c>
      <c r="BI113" s="1138">
        <v>2463600</v>
      </c>
      <c r="BJ113" s="1138">
        <v>1631217</v>
      </c>
      <c r="BK113" s="1138">
        <v>0</v>
      </c>
      <c r="BL113" s="1138">
        <v>1018760</v>
      </c>
      <c r="BM113" s="1138">
        <v>1413149</v>
      </c>
      <c r="BN113" s="1138">
        <v>0</v>
      </c>
      <c r="BO113" s="1138">
        <v>2313629</v>
      </c>
      <c r="BP113" s="1138">
        <v>1109857</v>
      </c>
      <c r="BQ113" s="1138">
        <v>783822</v>
      </c>
      <c r="BR113" s="1138">
        <v>1537886</v>
      </c>
      <c r="BS113" s="1138">
        <v>0</v>
      </c>
      <c r="BT113" s="1138">
        <v>0</v>
      </c>
      <c r="BU113" s="1138">
        <v>470530</v>
      </c>
      <c r="BV113" s="1138">
        <v>5621755</v>
      </c>
      <c r="BW113" s="1138">
        <v>233033</v>
      </c>
      <c r="BX113" s="1138">
        <v>645705</v>
      </c>
      <c r="BY113" s="1138">
        <v>0</v>
      </c>
      <c r="BZ113" s="1138">
        <v>0</v>
      </c>
      <c r="CA113" s="1138">
        <v>10593028</v>
      </c>
      <c r="CB113" s="1138">
        <v>0</v>
      </c>
    </row>
    <row r="114" spans="1:80" x14ac:dyDescent="0.3">
      <c r="A114" s="269">
        <v>350</v>
      </c>
      <c r="B114" s="1002">
        <v>350</v>
      </c>
      <c r="C114" s="269" t="s">
        <v>231</v>
      </c>
      <c r="D114" s="269" t="s">
        <v>431</v>
      </c>
      <c r="E114" s="1138">
        <v>0</v>
      </c>
      <c r="F114" s="1138">
        <v>0</v>
      </c>
      <c r="G114" s="1138">
        <v>0</v>
      </c>
      <c r="H114" s="1138">
        <v>1341844</v>
      </c>
      <c r="I114" s="1138">
        <v>178117</v>
      </c>
      <c r="J114" s="1138">
        <v>7806</v>
      </c>
      <c r="K114" s="1138">
        <v>60323</v>
      </c>
      <c r="L114" s="1138">
        <v>1113</v>
      </c>
      <c r="M114" s="1138">
        <v>424303</v>
      </c>
      <c r="N114" s="1138">
        <v>0</v>
      </c>
      <c r="O114" s="1138">
        <v>51588</v>
      </c>
      <c r="P114" s="1138">
        <v>245</v>
      </c>
      <c r="Q114" s="1138">
        <v>0</v>
      </c>
      <c r="R114" s="1138">
        <v>293421</v>
      </c>
      <c r="S114" s="1138">
        <v>92458</v>
      </c>
      <c r="T114" s="1138">
        <v>89498</v>
      </c>
      <c r="U114" s="1138">
        <v>0</v>
      </c>
      <c r="V114" s="1138">
        <v>36168</v>
      </c>
      <c r="W114" s="1138">
        <v>0</v>
      </c>
      <c r="X114" s="1138">
        <v>0</v>
      </c>
      <c r="Y114" s="1138">
        <v>15561</v>
      </c>
      <c r="Z114" s="1138">
        <v>96414</v>
      </c>
      <c r="AA114" s="1138">
        <v>135786</v>
      </c>
      <c r="AB114" s="1138">
        <v>844</v>
      </c>
      <c r="AC114" s="1138">
        <v>0</v>
      </c>
      <c r="AD114" s="1138">
        <v>41</v>
      </c>
      <c r="AE114" s="1138">
        <v>7856</v>
      </c>
      <c r="AF114" s="1138">
        <v>189</v>
      </c>
      <c r="AG114" s="1138">
        <v>0</v>
      </c>
      <c r="AH114" s="1138">
        <v>0</v>
      </c>
      <c r="AI114" s="1138">
        <v>0</v>
      </c>
      <c r="AJ114" s="1138">
        <v>11262</v>
      </c>
      <c r="AK114" s="1138">
        <v>108968</v>
      </c>
      <c r="AL114" s="1138">
        <v>5104</v>
      </c>
      <c r="AM114" s="1138">
        <v>0</v>
      </c>
      <c r="AN114" s="1138">
        <v>241201</v>
      </c>
      <c r="AO114" s="1138">
        <v>95825</v>
      </c>
      <c r="AP114" s="1138">
        <v>0</v>
      </c>
      <c r="AQ114" s="1138">
        <v>0</v>
      </c>
      <c r="AR114" s="1138">
        <v>175593</v>
      </c>
      <c r="AS114" s="1138">
        <v>76804</v>
      </c>
      <c r="AT114" s="1138">
        <v>0</v>
      </c>
      <c r="AU114" s="1138">
        <v>15666</v>
      </c>
      <c r="AV114" s="1138">
        <v>190277</v>
      </c>
      <c r="AW114" s="1138">
        <v>3711</v>
      </c>
      <c r="AX114" s="1138">
        <v>4428</v>
      </c>
      <c r="AY114" s="1138">
        <v>0</v>
      </c>
      <c r="AZ114" s="1138">
        <v>13964</v>
      </c>
      <c r="BA114" s="1138">
        <v>16326</v>
      </c>
      <c r="BB114" s="1138">
        <v>0</v>
      </c>
      <c r="BC114" s="1138">
        <v>0</v>
      </c>
      <c r="BD114" s="1138">
        <v>0</v>
      </c>
      <c r="BE114" s="1138">
        <v>0</v>
      </c>
      <c r="BF114" s="1138">
        <v>0</v>
      </c>
      <c r="BG114" s="1138">
        <v>47604</v>
      </c>
      <c r="BH114" s="1138">
        <v>0</v>
      </c>
      <c r="BI114" s="1138">
        <v>3954</v>
      </c>
      <c r="BJ114" s="1138">
        <v>22221</v>
      </c>
      <c r="BK114" s="1138">
        <v>0</v>
      </c>
      <c r="BL114" s="1138">
        <v>68723</v>
      </c>
      <c r="BM114" s="1138">
        <v>48925</v>
      </c>
      <c r="BN114" s="1138">
        <v>0</v>
      </c>
      <c r="BO114" s="1138">
        <v>89123</v>
      </c>
      <c r="BP114" s="1138">
        <v>53866</v>
      </c>
      <c r="BQ114" s="1138">
        <v>1440635</v>
      </c>
      <c r="BR114" s="1138">
        <v>13550</v>
      </c>
      <c r="BS114" s="1138">
        <v>0</v>
      </c>
      <c r="BT114" s="1138">
        <v>0</v>
      </c>
      <c r="BU114" s="1138">
        <v>52450</v>
      </c>
      <c r="BV114" s="1138">
        <v>40956</v>
      </c>
      <c r="BW114" s="1138">
        <v>123732</v>
      </c>
      <c r="BX114" s="1138">
        <v>7078</v>
      </c>
      <c r="BY114" s="1138">
        <v>0</v>
      </c>
      <c r="BZ114" s="1138">
        <v>0</v>
      </c>
      <c r="CA114" s="1138">
        <v>138825</v>
      </c>
      <c r="CB114" s="1138">
        <v>0</v>
      </c>
    </row>
    <row r="115" spans="1:80" x14ac:dyDescent="0.3">
      <c r="A115" s="269">
        <v>351</v>
      </c>
      <c r="B115" s="1002">
        <v>351</v>
      </c>
      <c r="C115" s="269" t="s">
        <v>232</v>
      </c>
      <c r="D115" s="269" t="s">
        <v>432</v>
      </c>
      <c r="E115" s="1138">
        <v>0</v>
      </c>
      <c r="F115" s="1138">
        <v>0</v>
      </c>
      <c r="G115" s="1138">
        <v>0</v>
      </c>
      <c r="H115" s="1138">
        <v>2013025</v>
      </c>
      <c r="I115" s="1138">
        <v>113049</v>
      </c>
      <c r="J115" s="1138">
        <v>0</v>
      </c>
      <c r="K115" s="1138">
        <v>0</v>
      </c>
      <c r="L115" s="1138">
        <v>69848</v>
      </c>
      <c r="M115" s="1138">
        <v>1860747</v>
      </c>
      <c r="N115" s="1138">
        <v>0</v>
      </c>
      <c r="O115" s="1138">
        <v>905</v>
      </c>
      <c r="P115" s="1138">
        <v>1772</v>
      </c>
      <c r="Q115" s="1138">
        <v>0</v>
      </c>
      <c r="R115" s="1138">
        <v>0</v>
      </c>
      <c r="S115" s="1138">
        <v>60527</v>
      </c>
      <c r="T115" s="1138">
        <v>14470</v>
      </c>
      <c r="U115" s="1138">
        <v>0</v>
      </c>
      <c r="V115" s="1138">
        <v>156847</v>
      </c>
      <c r="W115" s="1138">
        <v>0</v>
      </c>
      <c r="X115" s="1138">
        <v>0</v>
      </c>
      <c r="Y115" s="1138">
        <v>74050</v>
      </c>
      <c r="Z115" s="1138">
        <v>37685</v>
      </c>
      <c r="AA115" s="1138">
        <v>13936</v>
      </c>
      <c r="AB115" s="1138">
        <v>1098191</v>
      </c>
      <c r="AC115" s="1138">
        <v>0</v>
      </c>
      <c r="AD115" s="1138">
        <v>0</v>
      </c>
      <c r="AE115" s="1138">
        <v>19727</v>
      </c>
      <c r="AF115" s="1138">
        <v>168575</v>
      </c>
      <c r="AG115" s="1138">
        <v>0</v>
      </c>
      <c r="AH115" s="1138">
        <v>0</v>
      </c>
      <c r="AI115" s="1138">
        <v>0</v>
      </c>
      <c r="AJ115" s="1138">
        <v>0</v>
      </c>
      <c r="AK115" s="1138">
        <v>331824</v>
      </c>
      <c r="AL115" s="1138">
        <v>0</v>
      </c>
      <c r="AM115" s="1138">
        <v>0</v>
      </c>
      <c r="AN115" s="1138">
        <v>182180</v>
      </c>
      <c r="AO115" s="1138">
        <v>114586</v>
      </c>
      <c r="AP115" s="1138">
        <v>0</v>
      </c>
      <c r="AQ115" s="1138">
        <v>0</v>
      </c>
      <c r="AR115" s="1138">
        <v>25545</v>
      </c>
      <c r="AS115" s="1138">
        <v>0</v>
      </c>
      <c r="AT115" s="1138">
        <v>6875</v>
      </c>
      <c r="AU115" s="1138">
        <v>0</v>
      </c>
      <c r="AV115" s="1138">
        <v>158795</v>
      </c>
      <c r="AW115" s="1138">
        <v>3395</v>
      </c>
      <c r="AX115" s="1138">
        <v>10042</v>
      </c>
      <c r="AY115" s="1138">
        <v>21430</v>
      </c>
      <c r="AZ115" s="1138">
        <v>5732</v>
      </c>
      <c r="BA115" s="1138">
        <v>106104</v>
      </c>
      <c r="BB115" s="1138">
        <v>0</v>
      </c>
      <c r="BC115" s="1138">
        <v>0</v>
      </c>
      <c r="BD115" s="1138">
        <v>0</v>
      </c>
      <c r="BE115" s="1138">
        <v>0</v>
      </c>
      <c r="BF115" s="1138">
        <v>0</v>
      </c>
      <c r="BG115" s="1138">
        <v>0</v>
      </c>
      <c r="BH115" s="1138">
        <v>0</v>
      </c>
      <c r="BI115" s="1138">
        <v>58913</v>
      </c>
      <c r="BJ115" s="1138">
        <v>34222</v>
      </c>
      <c r="BK115" s="1138">
        <v>0</v>
      </c>
      <c r="BL115" s="1138">
        <v>0</v>
      </c>
      <c r="BM115" s="1138">
        <v>9904</v>
      </c>
      <c r="BN115" s="1138">
        <v>0</v>
      </c>
      <c r="BO115" s="1138">
        <v>24323</v>
      </c>
      <c r="BP115" s="1138">
        <v>25576</v>
      </c>
      <c r="BQ115" s="1138">
        <v>25062</v>
      </c>
      <c r="BR115" s="1138">
        <v>0</v>
      </c>
      <c r="BS115" s="1138">
        <v>0</v>
      </c>
      <c r="BT115" s="1138">
        <v>0</v>
      </c>
      <c r="BU115" s="1138">
        <v>8700</v>
      </c>
      <c r="BV115" s="1138">
        <v>67554</v>
      </c>
      <c r="BW115" s="1138">
        <v>113848</v>
      </c>
      <c r="BX115" s="1138">
        <v>0</v>
      </c>
      <c r="BY115" s="1138">
        <v>0</v>
      </c>
      <c r="BZ115" s="1138">
        <v>0</v>
      </c>
      <c r="CA115" s="1138">
        <v>119373</v>
      </c>
      <c r="CB115" s="1138">
        <v>0</v>
      </c>
    </row>
    <row r="116" spans="1:80" x14ac:dyDescent="0.3">
      <c r="A116" s="269">
        <v>352</v>
      </c>
      <c r="B116" s="1002">
        <v>352</v>
      </c>
      <c r="C116" s="269" t="s">
        <v>234</v>
      </c>
      <c r="D116" s="269" t="s">
        <v>433</v>
      </c>
      <c r="E116" s="1138">
        <v>0</v>
      </c>
      <c r="F116" s="1138">
        <v>0</v>
      </c>
      <c r="G116" s="1138">
        <v>0</v>
      </c>
      <c r="H116" s="1138">
        <v>1031220</v>
      </c>
      <c r="I116" s="1138">
        <v>0</v>
      </c>
      <c r="J116" s="1138">
        <v>0</v>
      </c>
      <c r="K116" s="1138">
        <v>244595</v>
      </c>
      <c r="L116" s="1138">
        <v>0</v>
      </c>
      <c r="M116" s="1138">
        <v>2128143</v>
      </c>
      <c r="N116" s="1138">
        <v>0</v>
      </c>
      <c r="O116" s="1138">
        <v>0</v>
      </c>
      <c r="P116" s="1138">
        <v>0</v>
      </c>
      <c r="Q116" s="1138">
        <v>0</v>
      </c>
      <c r="R116" s="1138">
        <v>0</v>
      </c>
      <c r="S116" s="1138">
        <v>0</v>
      </c>
      <c r="T116" s="1138">
        <v>0</v>
      </c>
      <c r="U116" s="1138">
        <v>0</v>
      </c>
      <c r="V116" s="1138">
        <v>0</v>
      </c>
      <c r="W116" s="1138">
        <v>0</v>
      </c>
      <c r="X116" s="1138">
        <v>0</v>
      </c>
      <c r="Y116" s="1138">
        <v>0</v>
      </c>
      <c r="Z116" s="1138">
        <v>0</v>
      </c>
      <c r="AA116" s="1138">
        <v>0</v>
      </c>
      <c r="AB116" s="1138">
        <v>0</v>
      </c>
      <c r="AC116" s="1138">
        <v>0</v>
      </c>
      <c r="AD116" s="1138">
        <v>0</v>
      </c>
      <c r="AE116" s="1138">
        <v>0</v>
      </c>
      <c r="AF116" s="1138">
        <v>0</v>
      </c>
      <c r="AG116" s="1138">
        <v>0</v>
      </c>
      <c r="AH116" s="1138">
        <v>0</v>
      </c>
      <c r="AI116" s="1138">
        <v>0</v>
      </c>
      <c r="AJ116" s="1138">
        <v>0</v>
      </c>
      <c r="AK116" s="1138">
        <v>0</v>
      </c>
      <c r="AL116" s="1138">
        <v>0</v>
      </c>
      <c r="AM116" s="1138">
        <v>0</v>
      </c>
      <c r="AN116" s="1138">
        <v>1144693</v>
      </c>
      <c r="AO116" s="1138">
        <v>0</v>
      </c>
      <c r="AP116" s="1138">
        <v>0</v>
      </c>
      <c r="AQ116" s="1138">
        <v>0</v>
      </c>
      <c r="AR116" s="1138">
        <v>3511968</v>
      </c>
      <c r="AS116" s="1138">
        <v>0</v>
      </c>
      <c r="AT116" s="1138">
        <v>0</v>
      </c>
      <c r="AU116" s="1138">
        <v>0</v>
      </c>
      <c r="AV116" s="1138">
        <v>0</v>
      </c>
      <c r="AW116" s="1138">
        <v>0</v>
      </c>
      <c r="AX116" s="1138">
        <v>0</v>
      </c>
      <c r="AY116" s="1138">
        <v>0</v>
      </c>
      <c r="AZ116" s="1138">
        <v>0</v>
      </c>
      <c r="BA116" s="1138">
        <v>0</v>
      </c>
      <c r="BB116" s="1138">
        <v>0</v>
      </c>
      <c r="BC116" s="1138">
        <v>0</v>
      </c>
      <c r="BD116" s="1138">
        <v>0</v>
      </c>
      <c r="BE116" s="1138">
        <v>0</v>
      </c>
      <c r="BF116" s="1138">
        <v>0</v>
      </c>
      <c r="BG116" s="1138">
        <v>0</v>
      </c>
      <c r="BH116" s="1138">
        <v>0</v>
      </c>
      <c r="BI116" s="1138">
        <v>0</v>
      </c>
      <c r="BJ116" s="1138">
        <v>0</v>
      </c>
      <c r="BK116" s="1138">
        <v>0</v>
      </c>
      <c r="BL116" s="1138">
        <v>0</v>
      </c>
      <c r="BM116" s="1138">
        <v>0</v>
      </c>
      <c r="BN116" s="1138">
        <v>0</v>
      </c>
      <c r="BO116" s="1138">
        <v>0</v>
      </c>
      <c r="BP116" s="1138">
        <v>0</v>
      </c>
      <c r="BQ116" s="1138">
        <v>0</v>
      </c>
      <c r="BR116" s="1138">
        <v>0</v>
      </c>
      <c r="BS116" s="1138">
        <v>0</v>
      </c>
      <c r="BT116" s="1138">
        <v>0</v>
      </c>
      <c r="BU116" s="1138">
        <v>0</v>
      </c>
      <c r="BV116" s="1138">
        <v>17560</v>
      </c>
      <c r="BW116" s="1138">
        <v>0</v>
      </c>
      <c r="BX116" s="1138">
        <v>0</v>
      </c>
      <c r="BY116" s="1138">
        <v>0</v>
      </c>
      <c r="BZ116" s="1138">
        <v>0</v>
      </c>
      <c r="CA116" s="1138">
        <v>625234</v>
      </c>
      <c r="CB116" s="1138">
        <v>0</v>
      </c>
    </row>
    <row r="117" spans="1:80" x14ac:dyDescent="0.3">
      <c r="A117" s="269">
        <v>353</v>
      </c>
      <c r="B117" s="1002">
        <v>353</v>
      </c>
      <c r="C117" s="269" t="s">
        <v>235</v>
      </c>
      <c r="D117" s="269" t="s">
        <v>434</v>
      </c>
      <c r="E117" s="1138">
        <v>0</v>
      </c>
      <c r="F117" s="1138">
        <v>0</v>
      </c>
      <c r="G117" s="1138">
        <v>0</v>
      </c>
      <c r="H117" s="1138">
        <v>150000</v>
      </c>
      <c r="I117" s="1138">
        <v>0</v>
      </c>
      <c r="J117" s="1138">
        <v>0</v>
      </c>
      <c r="K117" s="1138">
        <v>0</v>
      </c>
      <c r="L117" s="1138">
        <v>0</v>
      </c>
      <c r="M117" s="1138">
        <v>2388143</v>
      </c>
      <c r="N117" s="1138">
        <v>0</v>
      </c>
      <c r="O117" s="1138">
        <v>0</v>
      </c>
      <c r="P117" s="1138">
        <v>0</v>
      </c>
      <c r="Q117" s="1138">
        <v>0</v>
      </c>
      <c r="R117" s="1138">
        <v>0</v>
      </c>
      <c r="S117" s="1138">
        <v>0</v>
      </c>
      <c r="T117" s="1138">
        <v>0</v>
      </c>
      <c r="U117" s="1138">
        <v>0</v>
      </c>
      <c r="V117" s="1138">
        <v>3614000</v>
      </c>
      <c r="W117" s="1138">
        <v>0</v>
      </c>
      <c r="X117" s="1138">
        <v>0</v>
      </c>
      <c r="Y117" s="1138">
        <v>0</v>
      </c>
      <c r="Z117" s="1138">
        <v>0</v>
      </c>
      <c r="AA117" s="1138">
        <v>80125</v>
      </c>
      <c r="AB117" s="1138">
        <v>0</v>
      </c>
      <c r="AC117" s="1138">
        <v>0</v>
      </c>
      <c r="AD117" s="1138">
        <v>0</v>
      </c>
      <c r="AE117" s="1138">
        <v>0</v>
      </c>
      <c r="AF117" s="1138">
        <v>0</v>
      </c>
      <c r="AG117" s="1138">
        <v>0</v>
      </c>
      <c r="AH117" s="1138">
        <v>0</v>
      </c>
      <c r="AI117" s="1138">
        <v>0</v>
      </c>
      <c r="AJ117" s="1138">
        <v>0</v>
      </c>
      <c r="AK117" s="1138">
        <v>3550000</v>
      </c>
      <c r="AL117" s="1138">
        <v>0</v>
      </c>
      <c r="AM117" s="1138">
        <v>0</v>
      </c>
      <c r="AN117" s="1138">
        <v>1258668</v>
      </c>
      <c r="AO117" s="1138">
        <v>0</v>
      </c>
      <c r="AP117" s="1138">
        <v>0</v>
      </c>
      <c r="AQ117" s="1138">
        <v>0</v>
      </c>
      <c r="AR117" s="1138">
        <v>359633</v>
      </c>
      <c r="AS117" s="1138">
        <v>4585</v>
      </c>
      <c r="AT117" s="1138">
        <v>2117</v>
      </c>
      <c r="AU117" s="1138">
        <v>0</v>
      </c>
      <c r="AV117" s="1138">
        <v>379096</v>
      </c>
      <c r="AW117" s="1138">
        <v>0</v>
      </c>
      <c r="AX117" s="1138">
        <v>0</v>
      </c>
      <c r="AY117" s="1138">
        <v>0</v>
      </c>
      <c r="AZ117" s="1138">
        <v>0</v>
      </c>
      <c r="BA117" s="1138">
        <v>0</v>
      </c>
      <c r="BB117" s="1138">
        <v>0</v>
      </c>
      <c r="BC117" s="1138">
        <v>0</v>
      </c>
      <c r="BD117" s="1138">
        <v>0</v>
      </c>
      <c r="BE117" s="1138">
        <v>0</v>
      </c>
      <c r="BF117" s="1138">
        <v>0</v>
      </c>
      <c r="BG117" s="1138">
        <v>0</v>
      </c>
      <c r="BH117" s="1138">
        <v>0</v>
      </c>
      <c r="BI117" s="1138">
        <v>0</v>
      </c>
      <c r="BJ117" s="1138">
        <v>0</v>
      </c>
      <c r="BK117" s="1138">
        <v>0</v>
      </c>
      <c r="BL117" s="1138">
        <v>0</v>
      </c>
      <c r="BM117" s="1138">
        <v>0</v>
      </c>
      <c r="BN117" s="1138">
        <v>0</v>
      </c>
      <c r="BO117" s="1138">
        <v>173000</v>
      </c>
      <c r="BP117" s="1138">
        <v>0</v>
      </c>
      <c r="BQ117" s="1138">
        <v>0</v>
      </c>
      <c r="BR117" s="1138">
        <v>0</v>
      </c>
      <c r="BS117" s="1138">
        <v>0</v>
      </c>
      <c r="BT117" s="1138">
        <v>0</v>
      </c>
      <c r="BU117" s="1138">
        <v>1780</v>
      </c>
      <c r="BV117" s="1138">
        <v>0</v>
      </c>
      <c r="BW117" s="1138">
        <v>0</v>
      </c>
      <c r="BX117" s="1138">
        <v>0</v>
      </c>
      <c r="BY117" s="1138">
        <v>0</v>
      </c>
      <c r="BZ117" s="1138">
        <v>0</v>
      </c>
      <c r="CA117" s="1138">
        <v>567932</v>
      </c>
      <c r="CB117" s="1138">
        <v>0</v>
      </c>
    </row>
    <row r="118" spans="1:80" x14ac:dyDescent="0.3">
      <c r="A118" s="269">
        <v>356</v>
      </c>
      <c r="B118" s="1002">
        <v>356</v>
      </c>
      <c r="C118" s="269" t="s">
        <v>552</v>
      </c>
      <c r="D118" s="269" t="s">
        <v>435</v>
      </c>
      <c r="E118" s="1138">
        <v>0</v>
      </c>
      <c r="F118" s="1138">
        <v>0</v>
      </c>
      <c r="G118" s="1138">
        <v>0</v>
      </c>
      <c r="H118" s="1138">
        <v>0</v>
      </c>
      <c r="I118" s="1138">
        <v>0</v>
      </c>
      <c r="J118" s="1138">
        <v>0</v>
      </c>
      <c r="K118" s="1138">
        <v>0</v>
      </c>
      <c r="L118" s="1138">
        <v>0</v>
      </c>
      <c r="M118" s="1138">
        <v>0</v>
      </c>
      <c r="N118" s="1138">
        <v>0</v>
      </c>
      <c r="O118" s="1138">
        <v>0</v>
      </c>
      <c r="P118" s="1138">
        <v>0</v>
      </c>
      <c r="Q118" s="1138">
        <v>0</v>
      </c>
      <c r="R118" s="1138">
        <v>0</v>
      </c>
      <c r="S118" s="1138">
        <v>0</v>
      </c>
      <c r="T118" s="1138">
        <v>13537340</v>
      </c>
      <c r="U118" s="1138">
        <v>0</v>
      </c>
      <c r="V118" s="1138">
        <v>46800693</v>
      </c>
      <c r="W118" s="1138">
        <v>0</v>
      </c>
      <c r="X118" s="1138">
        <v>0</v>
      </c>
      <c r="Y118" s="1138">
        <v>0</v>
      </c>
      <c r="Z118" s="1138">
        <v>0</v>
      </c>
      <c r="AA118" s="1138">
        <v>2222337</v>
      </c>
      <c r="AB118" s="1138">
        <v>2272910</v>
      </c>
      <c r="AC118" s="1138">
        <v>0</v>
      </c>
      <c r="AD118" s="1138">
        <v>0</v>
      </c>
      <c r="AE118" s="1138">
        <v>0</v>
      </c>
      <c r="AF118" s="1138">
        <v>6281795</v>
      </c>
      <c r="AG118" s="1138">
        <v>0</v>
      </c>
      <c r="AH118" s="1138">
        <v>0</v>
      </c>
      <c r="AI118" s="1138">
        <v>0</v>
      </c>
      <c r="AJ118" s="1138">
        <v>0</v>
      </c>
      <c r="AK118" s="1138">
        <v>16310776</v>
      </c>
      <c r="AL118" s="1138">
        <v>0</v>
      </c>
      <c r="AM118" s="1138">
        <v>0</v>
      </c>
      <c r="AN118" s="1138">
        <v>0</v>
      </c>
      <c r="AO118" s="1138">
        <v>0</v>
      </c>
      <c r="AP118" s="1138">
        <v>0</v>
      </c>
      <c r="AQ118" s="1138">
        <v>0</v>
      </c>
      <c r="AR118" s="1138">
        <v>66541616</v>
      </c>
      <c r="AS118" s="1138">
        <v>0</v>
      </c>
      <c r="AT118" s="1138">
        <v>0</v>
      </c>
      <c r="AU118" s="1138">
        <v>0</v>
      </c>
      <c r="AV118" s="1138">
        <v>5594535</v>
      </c>
      <c r="AW118" s="1138">
        <v>0</v>
      </c>
      <c r="AX118" s="1138">
        <v>0</v>
      </c>
      <c r="AY118" s="1138">
        <v>0</v>
      </c>
      <c r="AZ118" s="1138">
        <v>0</v>
      </c>
      <c r="BA118" s="1138">
        <v>10556830</v>
      </c>
      <c r="BB118" s="1138">
        <v>0</v>
      </c>
      <c r="BC118" s="1138">
        <v>0</v>
      </c>
      <c r="BD118" s="1138">
        <v>0</v>
      </c>
      <c r="BE118" s="1138">
        <v>0</v>
      </c>
      <c r="BF118" s="1138">
        <v>0</v>
      </c>
      <c r="BG118" s="1138">
        <v>268960</v>
      </c>
      <c r="BH118" s="1138">
        <v>0</v>
      </c>
      <c r="BI118" s="1138">
        <v>0</v>
      </c>
      <c r="BJ118" s="1138">
        <v>0</v>
      </c>
      <c r="BK118" s="1138">
        <v>0</v>
      </c>
      <c r="BL118" s="1138">
        <v>6682392</v>
      </c>
      <c r="BM118" s="1138">
        <v>0</v>
      </c>
      <c r="BN118" s="1138">
        <v>0</v>
      </c>
      <c r="BO118" s="1138">
        <v>0</v>
      </c>
      <c r="BP118" s="1138">
        <v>0</v>
      </c>
      <c r="BQ118" s="1138">
        <v>0</v>
      </c>
      <c r="BR118" s="1138">
        <v>0</v>
      </c>
      <c r="BS118" s="1138">
        <v>0</v>
      </c>
      <c r="BT118" s="1138">
        <v>0</v>
      </c>
      <c r="BU118" s="1138">
        <v>0</v>
      </c>
      <c r="BV118" s="1138">
        <v>0</v>
      </c>
      <c r="BW118" s="1138">
        <v>0</v>
      </c>
      <c r="BX118" s="1138">
        <v>0</v>
      </c>
      <c r="BY118" s="1138">
        <v>0</v>
      </c>
      <c r="BZ118" s="1138">
        <v>0</v>
      </c>
      <c r="CA118" s="1138">
        <v>0</v>
      </c>
      <c r="CB118" s="1138">
        <v>0</v>
      </c>
    </row>
    <row r="119" spans="1:80" x14ac:dyDescent="0.3">
      <c r="A119" s="269">
        <v>357</v>
      </c>
      <c r="B119" s="1002">
        <v>357</v>
      </c>
      <c r="C119" s="269" t="s">
        <v>553</v>
      </c>
      <c r="D119" s="269" t="s">
        <v>436</v>
      </c>
      <c r="E119" s="1138">
        <v>0</v>
      </c>
      <c r="F119" s="1138">
        <v>0</v>
      </c>
      <c r="G119" s="1138">
        <v>0</v>
      </c>
      <c r="H119" s="1138">
        <v>0</v>
      </c>
      <c r="I119" s="1138">
        <v>0</v>
      </c>
      <c r="J119" s="1138">
        <v>0</v>
      </c>
      <c r="K119" s="1138">
        <v>0</v>
      </c>
      <c r="L119" s="1138">
        <v>0</v>
      </c>
      <c r="M119" s="1138">
        <v>0</v>
      </c>
      <c r="N119" s="1138">
        <v>0</v>
      </c>
      <c r="O119" s="1138">
        <v>0</v>
      </c>
      <c r="P119" s="1138">
        <v>0</v>
      </c>
      <c r="Q119" s="1138">
        <v>0</v>
      </c>
      <c r="R119" s="1138">
        <v>0</v>
      </c>
      <c r="S119" s="1138">
        <v>0</v>
      </c>
      <c r="T119" s="1138">
        <v>7988504</v>
      </c>
      <c r="U119" s="1138">
        <v>0</v>
      </c>
      <c r="V119" s="1138">
        <v>28922073</v>
      </c>
      <c r="W119" s="1138">
        <v>0</v>
      </c>
      <c r="X119" s="1138">
        <v>0</v>
      </c>
      <c r="Y119" s="1138">
        <v>0</v>
      </c>
      <c r="Z119" s="1138">
        <v>0</v>
      </c>
      <c r="AA119" s="1138">
        <v>1335452</v>
      </c>
      <c r="AB119" s="1138">
        <v>1701294</v>
      </c>
      <c r="AC119" s="1138">
        <v>0</v>
      </c>
      <c r="AD119" s="1138">
        <v>0</v>
      </c>
      <c r="AE119" s="1138">
        <v>0</v>
      </c>
      <c r="AF119" s="1138">
        <v>3832999</v>
      </c>
      <c r="AG119" s="1138">
        <v>0</v>
      </c>
      <c r="AH119" s="1138">
        <v>0</v>
      </c>
      <c r="AI119" s="1138">
        <v>0</v>
      </c>
      <c r="AJ119" s="1138">
        <v>0</v>
      </c>
      <c r="AK119" s="1138">
        <v>10373283</v>
      </c>
      <c r="AL119" s="1138">
        <v>0</v>
      </c>
      <c r="AM119" s="1138">
        <v>0</v>
      </c>
      <c r="AN119" s="1138">
        <v>0</v>
      </c>
      <c r="AO119" s="1138">
        <v>0</v>
      </c>
      <c r="AP119" s="1138">
        <v>0</v>
      </c>
      <c r="AQ119" s="1138">
        <v>0</v>
      </c>
      <c r="AR119" s="1138">
        <v>31771795</v>
      </c>
      <c r="AS119" s="1138">
        <v>0</v>
      </c>
      <c r="AT119" s="1138">
        <v>0</v>
      </c>
      <c r="AU119" s="1138">
        <v>0</v>
      </c>
      <c r="AV119" s="1138">
        <v>4207033</v>
      </c>
      <c r="AW119" s="1138">
        <v>0</v>
      </c>
      <c r="AX119" s="1138">
        <v>0</v>
      </c>
      <c r="AY119" s="1138">
        <v>0</v>
      </c>
      <c r="AZ119" s="1138">
        <v>0</v>
      </c>
      <c r="BA119" s="1138">
        <v>7614967</v>
      </c>
      <c r="BB119" s="1138">
        <v>0</v>
      </c>
      <c r="BC119" s="1138">
        <v>0</v>
      </c>
      <c r="BD119" s="1138">
        <v>0</v>
      </c>
      <c r="BE119" s="1138">
        <v>0</v>
      </c>
      <c r="BF119" s="1138">
        <v>0</v>
      </c>
      <c r="BG119" s="1138">
        <v>230523</v>
      </c>
      <c r="BH119" s="1138">
        <v>0</v>
      </c>
      <c r="BI119" s="1138">
        <v>0</v>
      </c>
      <c r="BJ119" s="1138">
        <v>0</v>
      </c>
      <c r="BK119" s="1138">
        <v>0</v>
      </c>
      <c r="BL119" s="1138">
        <v>4338166</v>
      </c>
      <c r="BM119" s="1138">
        <v>0</v>
      </c>
      <c r="BN119" s="1138">
        <v>0</v>
      </c>
      <c r="BO119" s="1138">
        <v>0</v>
      </c>
      <c r="BP119" s="1138">
        <v>0</v>
      </c>
      <c r="BQ119" s="1138">
        <v>0</v>
      </c>
      <c r="BR119" s="1138">
        <v>0</v>
      </c>
      <c r="BS119" s="1138">
        <v>0</v>
      </c>
      <c r="BT119" s="1138">
        <v>0</v>
      </c>
      <c r="BU119" s="1138">
        <v>0</v>
      </c>
      <c r="BV119" s="1138">
        <v>0</v>
      </c>
      <c r="BW119" s="1138">
        <v>0</v>
      </c>
      <c r="BX119" s="1138">
        <v>0</v>
      </c>
      <c r="BY119" s="1138">
        <v>0</v>
      </c>
      <c r="BZ119" s="1138">
        <v>0</v>
      </c>
      <c r="CA119" s="1138">
        <v>0</v>
      </c>
      <c r="CB119" s="1138">
        <v>0</v>
      </c>
    </row>
    <row r="120" spans="1:80" x14ac:dyDescent="0.3">
      <c r="A120" s="269">
        <v>359</v>
      </c>
      <c r="B120" s="1002">
        <v>359</v>
      </c>
      <c r="C120" s="269" t="s">
        <v>256</v>
      </c>
      <c r="D120" s="269" t="s">
        <v>437</v>
      </c>
      <c r="E120" s="1138">
        <v>0</v>
      </c>
      <c r="F120" s="1138">
        <v>0</v>
      </c>
      <c r="G120" s="1138">
        <v>0</v>
      </c>
      <c r="H120" s="1138">
        <v>0</v>
      </c>
      <c r="I120" s="1138">
        <v>0</v>
      </c>
      <c r="J120" s="1138">
        <v>0</v>
      </c>
      <c r="K120" s="1138">
        <v>0</v>
      </c>
      <c r="L120" s="1138">
        <v>0</v>
      </c>
      <c r="M120" s="1138">
        <v>0</v>
      </c>
      <c r="N120" s="1138">
        <v>0</v>
      </c>
      <c r="O120" s="1138">
        <v>0</v>
      </c>
      <c r="P120" s="1138">
        <v>0</v>
      </c>
      <c r="Q120" s="1138">
        <v>0</v>
      </c>
      <c r="R120" s="1138">
        <v>0</v>
      </c>
      <c r="S120" s="1138">
        <v>0</v>
      </c>
      <c r="T120" s="1138">
        <v>232917</v>
      </c>
      <c r="U120" s="1138">
        <v>0</v>
      </c>
      <c r="V120" s="1138">
        <v>1876533</v>
      </c>
      <c r="W120" s="1138">
        <v>0</v>
      </c>
      <c r="X120" s="1138">
        <v>0</v>
      </c>
      <c r="Y120" s="1138">
        <v>0</v>
      </c>
      <c r="Z120" s="1138">
        <v>0</v>
      </c>
      <c r="AA120" s="1138">
        <v>174590</v>
      </c>
      <c r="AB120" s="1138">
        <v>0</v>
      </c>
      <c r="AC120" s="1138">
        <v>0</v>
      </c>
      <c r="AD120" s="1138">
        <v>0</v>
      </c>
      <c r="AE120" s="1138">
        <v>0</v>
      </c>
      <c r="AF120" s="1138">
        <v>219003</v>
      </c>
      <c r="AG120" s="1138">
        <v>0</v>
      </c>
      <c r="AH120" s="1138">
        <v>0</v>
      </c>
      <c r="AI120" s="1138">
        <v>0</v>
      </c>
      <c r="AJ120" s="1138">
        <v>0</v>
      </c>
      <c r="AK120" s="1138">
        <v>1716225</v>
      </c>
      <c r="AL120" s="1138">
        <v>0</v>
      </c>
      <c r="AM120" s="1138">
        <v>0</v>
      </c>
      <c r="AN120" s="1138">
        <v>0</v>
      </c>
      <c r="AO120" s="1138">
        <v>0</v>
      </c>
      <c r="AP120" s="1138">
        <v>0</v>
      </c>
      <c r="AQ120" s="1138">
        <v>0</v>
      </c>
      <c r="AR120" s="1138">
        <v>5054172</v>
      </c>
      <c r="AS120" s="1138">
        <v>0</v>
      </c>
      <c r="AT120" s="1138">
        <v>0</v>
      </c>
      <c r="AU120" s="1138">
        <v>0</v>
      </c>
      <c r="AV120" s="1138">
        <v>0</v>
      </c>
      <c r="AW120" s="1138">
        <v>0</v>
      </c>
      <c r="AX120" s="1138">
        <v>0</v>
      </c>
      <c r="AY120" s="1138">
        <v>0</v>
      </c>
      <c r="AZ120" s="1138">
        <v>0</v>
      </c>
      <c r="BA120" s="1138">
        <v>287971</v>
      </c>
      <c r="BB120" s="1138">
        <v>0</v>
      </c>
      <c r="BC120" s="1138">
        <v>0</v>
      </c>
      <c r="BD120" s="1138">
        <v>0</v>
      </c>
      <c r="BE120" s="1138">
        <v>0</v>
      </c>
      <c r="BF120" s="1138">
        <v>0</v>
      </c>
      <c r="BG120" s="1138">
        <v>0</v>
      </c>
      <c r="BH120" s="1138">
        <v>0</v>
      </c>
      <c r="BI120" s="1138">
        <v>0</v>
      </c>
      <c r="BJ120" s="1138">
        <v>0</v>
      </c>
      <c r="BK120" s="1138">
        <v>0</v>
      </c>
      <c r="BL120" s="1138">
        <v>0</v>
      </c>
      <c r="BM120" s="1138">
        <v>0</v>
      </c>
      <c r="BN120" s="1138">
        <v>0</v>
      </c>
      <c r="BO120" s="1138">
        <v>0</v>
      </c>
      <c r="BP120" s="1138">
        <v>0</v>
      </c>
      <c r="BQ120" s="1138">
        <v>0</v>
      </c>
      <c r="BR120" s="1138">
        <v>0</v>
      </c>
      <c r="BS120" s="1138">
        <v>0</v>
      </c>
      <c r="BT120" s="1138">
        <v>0</v>
      </c>
      <c r="BU120" s="1138">
        <v>0</v>
      </c>
      <c r="BV120" s="1138">
        <v>0</v>
      </c>
      <c r="BW120" s="1138">
        <v>0</v>
      </c>
      <c r="BX120" s="1138">
        <v>0</v>
      </c>
      <c r="BY120" s="1138">
        <v>0</v>
      </c>
      <c r="BZ120" s="1138">
        <v>0</v>
      </c>
      <c r="CA120" s="1138">
        <v>0</v>
      </c>
      <c r="CB120" s="1138">
        <v>0</v>
      </c>
    </row>
    <row r="121" spans="1:80" x14ac:dyDescent="0.3">
      <c r="A121" s="269">
        <v>360</v>
      </c>
      <c r="B121" s="1002">
        <v>360</v>
      </c>
      <c r="C121" s="269" t="s">
        <v>125</v>
      </c>
      <c r="D121" s="269" t="s">
        <v>438</v>
      </c>
      <c r="E121" s="1138">
        <v>0</v>
      </c>
      <c r="F121" s="1138">
        <v>0</v>
      </c>
      <c r="G121" s="1138">
        <v>0</v>
      </c>
      <c r="H121" s="1138">
        <v>0</v>
      </c>
      <c r="I121" s="1138">
        <v>0</v>
      </c>
      <c r="J121" s="1138">
        <v>0</v>
      </c>
      <c r="K121" s="1138">
        <v>0</v>
      </c>
      <c r="L121" s="1138">
        <v>0</v>
      </c>
      <c r="M121" s="1138">
        <v>0</v>
      </c>
      <c r="N121" s="1138">
        <v>0</v>
      </c>
      <c r="O121" s="1138">
        <v>0</v>
      </c>
      <c r="P121" s="1138">
        <v>0</v>
      </c>
      <c r="Q121" s="1138">
        <v>0</v>
      </c>
      <c r="R121" s="1138">
        <v>0</v>
      </c>
      <c r="S121" s="1138">
        <v>0</v>
      </c>
      <c r="T121" s="1138">
        <v>2515555</v>
      </c>
      <c r="U121" s="1138">
        <v>0</v>
      </c>
      <c r="V121" s="1138">
        <v>7325584</v>
      </c>
      <c r="W121" s="1138">
        <v>0</v>
      </c>
      <c r="X121" s="1138">
        <v>0</v>
      </c>
      <c r="Y121" s="1138">
        <v>0</v>
      </c>
      <c r="Z121" s="1138">
        <v>0</v>
      </c>
      <c r="AA121" s="1138">
        <v>778771</v>
      </c>
      <c r="AB121" s="1138">
        <v>625222</v>
      </c>
      <c r="AC121" s="1138">
        <v>0</v>
      </c>
      <c r="AD121" s="1138">
        <v>0</v>
      </c>
      <c r="AE121" s="1138">
        <v>0</v>
      </c>
      <c r="AF121" s="1138">
        <v>1166934</v>
      </c>
      <c r="AG121" s="1138">
        <v>0</v>
      </c>
      <c r="AH121" s="1138">
        <v>0</v>
      </c>
      <c r="AI121" s="1138">
        <v>0</v>
      </c>
      <c r="AJ121" s="1138">
        <v>0</v>
      </c>
      <c r="AK121" s="1138">
        <v>4080440</v>
      </c>
      <c r="AL121" s="1138">
        <v>0</v>
      </c>
      <c r="AM121" s="1138">
        <v>0</v>
      </c>
      <c r="AN121" s="1138">
        <v>0</v>
      </c>
      <c r="AO121" s="1138">
        <v>0</v>
      </c>
      <c r="AP121" s="1138">
        <v>0</v>
      </c>
      <c r="AQ121" s="1138">
        <v>0</v>
      </c>
      <c r="AR121" s="1138">
        <v>12065768</v>
      </c>
      <c r="AS121" s="1138">
        <v>0</v>
      </c>
      <c r="AT121" s="1138">
        <v>0</v>
      </c>
      <c r="AU121" s="1138">
        <v>0</v>
      </c>
      <c r="AV121" s="1138">
        <v>1533316</v>
      </c>
      <c r="AW121" s="1138">
        <v>0</v>
      </c>
      <c r="AX121" s="1138">
        <v>0</v>
      </c>
      <c r="AY121" s="1138">
        <v>0</v>
      </c>
      <c r="AZ121" s="1138">
        <v>0</v>
      </c>
      <c r="BA121" s="1138">
        <v>1494050</v>
      </c>
      <c r="BB121" s="1138">
        <v>0</v>
      </c>
      <c r="BC121" s="1138">
        <v>0</v>
      </c>
      <c r="BD121" s="1138">
        <v>0</v>
      </c>
      <c r="BE121" s="1138">
        <v>0</v>
      </c>
      <c r="BF121" s="1138">
        <v>0</v>
      </c>
      <c r="BG121" s="1138">
        <v>80261</v>
      </c>
      <c r="BH121" s="1138">
        <v>0</v>
      </c>
      <c r="BI121" s="1138">
        <v>0</v>
      </c>
      <c r="BJ121" s="1138">
        <v>0</v>
      </c>
      <c r="BK121" s="1138">
        <v>0</v>
      </c>
      <c r="BL121" s="1138">
        <v>269192</v>
      </c>
      <c r="BM121" s="1138">
        <v>0</v>
      </c>
      <c r="BN121" s="1138">
        <v>0</v>
      </c>
      <c r="BO121" s="1138">
        <v>0</v>
      </c>
      <c r="BP121" s="1138">
        <v>0</v>
      </c>
      <c r="BQ121" s="1138">
        <v>0</v>
      </c>
      <c r="BR121" s="1138">
        <v>0</v>
      </c>
      <c r="BS121" s="1138">
        <v>0</v>
      </c>
      <c r="BT121" s="1138">
        <v>0</v>
      </c>
      <c r="BU121" s="1138">
        <v>0</v>
      </c>
      <c r="BV121" s="1138">
        <v>0</v>
      </c>
      <c r="BW121" s="1138">
        <v>0</v>
      </c>
      <c r="BX121" s="1138">
        <v>0</v>
      </c>
      <c r="BY121" s="1138">
        <v>0</v>
      </c>
      <c r="BZ121" s="1138">
        <v>0</v>
      </c>
      <c r="CA121" s="1138">
        <v>0</v>
      </c>
      <c r="CB121" s="1138">
        <v>0</v>
      </c>
    </row>
    <row r="122" spans="1:80" x14ac:dyDescent="0.3">
      <c r="A122" s="269">
        <v>361</v>
      </c>
      <c r="B122" s="1002">
        <v>361</v>
      </c>
      <c r="C122" s="269" t="s">
        <v>106</v>
      </c>
      <c r="D122" s="269" t="s">
        <v>439</v>
      </c>
      <c r="E122" s="1138">
        <v>0</v>
      </c>
      <c r="F122" s="1138">
        <v>0</v>
      </c>
      <c r="G122" s="1138">
        <v>0</v>
      </c>
      <c r="H122" s="1138">
        <v>0</v>
      </c>
      <c r="I122" s="1138">
        <v>0</v>
      </c>
      <c r="J122" s="1138">
        <v>0</v>
      </c>
      <c r="K122" s="1138">
        <v>0</v>
      </c>
      <c r="L122" s="1138">
        <v>0</v>
      </c>
      <c r="M122" s="1138">
        <v>0</v>
      </c>
      <c r="N122" s="1138">
        <v>0</v>
      </c>
      <c r="O122" s="1138">
        <v>0</v>
      </c>
      <c r="P122" s="1138">
        <v>0</v>
      </c>
      <c r="Q122" s="1138">
        <v>0</v>
      </c>
      <c r="R122" s="1138">
        <v>0</v>
      </c>
      <c r="S122" s="1138">
        <v>0</v>
      </c>
      <c r="T122" s="1138">
        <v>4080072</v>
      </c>
      <c r="U122" s="1138">
        <v>0</v>
      </c>
      <c r="V122" s="1138">
        <v>24559242</v>
      </c>
      <c r="W122" s="1138">
        <v>0</v>
      </c>
      <c r="X122" s="1138">
        <v>0</v>
      </c>
      <c r="Y122" s="1138">
        <v>0</v>
      </c>
      <c r="Z122" s="1138">
        <v>0</v>
      </c>
      <c r="AA122" s="1138">
        <v>986992</v>
      </c>
      <c r="AB122" s="1138">
        <v>337088</v>
      </c>
      <c r="AC122" s="1138">
        <v>0</v>
      </c>
      <c r="AD122" s="1138">
        <v>0</v>
      </c>
      <c r="AE122" s="1138">
        <v>0</v>
      </c>
      <c r="AF122" s="1138">
        <v>653455</v>
      </c>
      <c r="AG122" s="1138">
        <v>0</v>
      </c>
      <c r="AH122" s="1138">
        <v>0</v>
      </c>
      <c r="AI122" s="1138">
        <v>0</v>
      </c>
      <c r="AJ122" s="1138">
        <v>0</v>
      </c>
      <c r="AK122" s="1138">
        <v>3375712</v>
      </c>
      <c r="AL122" s="1138">
        <v>0</v>
      </c>
      <c r="AM122" s="1138">
        <v>0</v>
      </c>
      <c r="AN122" s="1138">
        <v>0</v>
      </c>
      <c r="AO122" s="1138">
        <v>0</v>
      </c>
      <c r="AP122" s="1138">
        <v>0</v>
      </c>
      <c r="AQ122" s="1138">
        <v>0</v>
      </c>
      <c r="AR122" s="1138">
        <v>17576904</v>
      </c>
      <c r="AS122" s="1138">
        <v>0</v>
      </c>
      <c r="AT122" s="1138">
        <v>0</v>
      </c>
      <c r="AU122" s="1138">
        <v>0</v>
      </c>
      <c r="AV122" s="1138">
        <v>4087609</v>
      </c>
      <c r="AW122" s="1138">
        <v>0</v>
      </c>
      <c r="AX122" s="1138">
        <v>0</v>
      </c>
      <c r="AY122" s="1138">
        <v>0</v>
      </c>
      <c r="AZ122" s="1138">
        <v>0</v>
      </c>
      <c r="BA122" s="1138">
        <v>1791528</v>
      </c>
      <c r="BB122" s="1138">
        <v>0</v>
      </c>
      <c r="BC122" s="1138">
        <v>0</v>
      </c>
      <c r="BD122" s="1138">
        <v>0</v>
      </c>
      <c r="BE122" s="1138">
        <v>0</v>
      </c>
      <c r="BF122" s="1138">
        <v>0</v>
      </c>
      <c r="BG122" s="1138">
        <v>375655</v>
      </c>
      <c r="BH122" s="1138">
        <v>0</v>
      </c>
      <c r="BI122" s="1138">
        <v>0</v>
      </c>
      <c r="BJ122" s="1138">
        <v>0</v>
      </c>
      <c r="BK122" s="1138">
        <v>0</v>
      </c>
      <c r="BL122" s="1138">
        <v>2285913</v>
      </c>
      <c r="BM122" s="1138">
        <v>0</v>
      </c>
      <c r="BN122" s="1138">
        <v>0</v>
      </c>
      <c r="BO122" s="1138">
        <v>0</v>
      </c>
      <c r="BP122" s="1138">
        <v>0</v>
      </c>
      <c r="BQ122" s="1138">
        <v>0</v>
      </c>
      <c r="BR122" s="1138">
        <v>0</v>
      </c>
      <c r="BS122" s="1138">
        <v>0</v>
      </c>
      <c r="BT122" s="1138">
        <v>0</v>
      </c>
      <c r="BU122" s="1138">
        <v>0</v>
      </c>
      <c r="BV122" s="1138">
        <v>0</v>
      </c>
      <c r="BW122" s="1138">
        <v>0</v>
      </c>
      <c r="BX122" s="1138">
        <v>0</v>
      </c>
      <c r="BY122" s="1138">
        <v>0</v>
      </c>
      <c r="BZ122" s="1138">
        <v>0</v>
      </c>
      <c r="CA122" s="1138">
        <v>0</v>
      </c>
      <c r="CB122" s="1138">
        <v>0</v>
      </c>
    </row>
    <row r="123" spans="1:80" x14ac:dyDescent="0.3">
      <c r="A123" s="269">
        <v>362</v>
      </c>
      <c r="B123" s="1002">
        <v>362</v>
      </c>
      <c r="C123" s="269" t="s">
        <v>107</v>
      </c>
      <c r="D123" s="269" t="s">
        <v>440</v>
      </c>
      <c r="E123" s="1138">
        <v>0</v>
      </c>
      <c r="F123" s="1138">
        <v>0</v>
      </c>
      <c r="G123" s="1138">
        <v>0</v>
      </c>
      <c r="H123" s="1138">
        <v>0</v>
      </c>
      <c r="I123" s="1138">
        <v>0</v>
      </c>
      <c r="J123" s="1138">
        <v>0</v>
      </c>
      <c r="K123" s="1138">
        <v>0</v>
      </c>
      <c r="L123" s="1138">
        <v>0</v>
      </c>
      <c r="M123" s="1138">
        <v>0</v>
      </c>
      <c r="N123" s="1138">
        <v>0</v>
      </c>
      <c r="O123" s="1138">
        <v>0</v>
      </c>
      <c r="P123" s="1138">
        <v>0</v>
      </c>
      <c r="Q123" s="1138">
        <v>0</v>
      </c>
      <c r="R123" s="1138">
        <v>0</v>
      </c>
      <c r="S123" s="1138">
        <v>0</v>
      </c>
      <c r="T123" s="1138">
        <v>9435881</v>
      </c>
      <c r="U123" s="1138">
        <v>0</v>
      </c>
      <c r="V123" s="1138">
        <v>50400790</v>
      </c>
      <c r="W123" s="1138">
        <v>0</v>
      </c>
      <c r="X123" s="1138">
        <v>0</v>
      </c>
      <c r="Y123" s="1138">
        <v>0</v>
      </c>
      <c r="Z123" s="1138">
        <v>0</v>
      </c>
      <c r="AA123" s="1138">
        <v>1705287</v>
      </c>
      <c r="AB123" s="1138">
        <v>1425989</v>
      </c>
      <c r="AC123" s="1138">
        <v>0</v>
      </c>
      <c r="AD123" s="1138">
        <v>0</v>
      </c>
      <c r="AE123" s="1138">
        <v>0</v>
      </c>
      <c r="AF123" s="1138">
        <v>2883247</v>
      </c>
      <c r="AG123" s="1138">
        <v>0</v>
      </c>
      <c r="AH123" s="1138">
        <v>0</v>
      </c>
      <c r="AI123" s="1138">
        <v>0</v>
      </c>
      <c r="AJ123" s="1138">
        <v>0</v>
      </c>
      <c r="AK123" s="1138">
        <v>9177125</v>
      </c>
      <c r="AL123" s="1138">
        <v>0</v>
      </c>
      <c r="AM123" s="1138">
        <v>0</v>
      </c>
      <c r="AN123" s="1138">
        <v>0</v>
      </c>
      <c r="AO123" s="1138">
        <v>0</v>
      </c>
      <c r="AP123" s="1138">
        <v>0</v>
      </c>
      <c r="AQ123" s="1138">
        <v>0</v>
      </c>
      <c r="AR123" s="1138">
        <v>47929839</v>
      </c>
      <c r="AS123" s="1138">
        <v>0</v>
      </c>
      <c r="AT123" s="1138">
        <v>0</v>
      </c>
      <c r="AU123" s="1138">
        <v>0</v>
      </c>
      <c r="AV123" s="1138">
        <v>5878274</v>
      </c>
      <c r="AW123" s="1138">
        <v>0</v>
      </c>
      <c r="AX123" s="1138">
        <v>0</v>
      </c>
      <c r="AY123" s="1138">
        <v>0</v>
      </c>
      <c r="AZ123" s="1138">
        <v>0</v>
      </c>
      <c r="BA123" s="1138">
        <v>5459588</v>
      </c>
      <c r="BB123" s="1138">
        <v>0</v>
      </c>
      <c r="BC123" s="1138">
        <v>0</v>
      </c>
      <c r="BD123" s="1138">
        <v>0</v>
      </c>
      <c r="BE123" s="1138">
        <v>0</v>
      </c>
      <c r="BF123" s="1138">
        <v>0</v>
      </c>
      <c r="BG123" s="1138">
        <v>414092</v>
      </c>
      <c r="BH123" s="1138">
        <v>0</v>
      </c>
      <c r="BI123" s="1138">
        <v>0</v>
      </c>
      <c r="BJ123" s="1138">
        <v>0</v>
      </c>
      <c r="BK123" s="1138">
        <v>0</v>
      </c>
      <c r="BL123" s="1138">
        <v>4649939</v>
      </c>
      <c r="BM123" s="1138">
        <v>0</v>
      </c>
      <c r="BN123" s="1138">
        <v>0</v>
      </c>
      <c r="BO123" s="1138">
        <v>0</v>
      </c>
      <c r="BP123" s="1138">
        <v>0</v>
      </c>
      <c r="BQ123" s="1138">
        <v>0</v>
      </c>
      <c r="BR123" s="1138">
        <v>0</v>
      </c>
      <c r="BS123" s="1138">
        <v>0</v>
      </c>
      <c r="BT123" s="1138">
        <v>0</v>
      </c>
      <c r="BU123" s="1138">
        <v>0</v>
      </c>
      <c r="BV123" s="1138">
        <v>0</v>
      </c>
      <c r="BW123" s="1138">
        <v>0</v>
      </c>
      <c r="BX123" s="1138">
        <v>0</v>
      </c>
      <c r="BY123" s="1138">
        <v>0</v>
      </c>
      <c r="BZ123" s="1138">
        <v>0</v>
      </c>
      <c r="CA123" s="1138">
        <v>0</v>
      </c>
      <c r="CB123" s="1138">
        <v>0</v>
      </c>
    </row>
    <row r="124" spans="1:80" x14ac:dyDescent="0.3">
      <c r="A124" s="269">
        <v>363</v>
      </c>
      <c r="B124" s="1002">
        <v>363</v>
      </c>
      <c r="C124" s="269" t="s">
        <v>242</v>
      </c>
      <c r="D124" s="269" t="s">
        <v>441</v>
      </c>
      <c r="E124" s="1138">
        <v>0</v>
      </c>
      <c r="F124" s="1138">
        <v>0</v>
      </c>
      <c r="G124" s="1138">
        <v>0</v>
      </c>
      <c r="H124" s="1138">
        <v>0</v>
      </c>
      <c r="I124" s="1138">
        <v>0</v>
      </c>
      <c r="J124" s="1138">
        <v>0</v>
      </c>
      <c r="K124" s="1138">
        <v>0</v>
      </c>
      <c r="L124" s="1138">
        <v>0</v>
      </c>
      <c r="M124" s="1138">
        <v>0</v>
      </c>
      <c r="N124" s="1138">
        <v>0</v>
      </c>
      <c r="O124" s="1138">
        <v>0</v>
      </c>
      <c r="P124" s="1138">
        <v>0</v>
      </c>
      <c r="Q124" s="1138">
        <v>0</v>
      </c>
      <c r="R124" s="1138">
        <v>0</v>
      </c>
      <c r="S124" s="1138">
        <v>0</v>
      </c>
      <c r="T124" s="1138">
        <v>77636</v>
      </c>
      <c r="U124" s="1138">
        <v>0</v>
      </c>
      <c r="V124" s="1138">
        <v>115670</v>
      </c>
      <c r="W124" s="1138">
        <v>0</v>
      </c>
      <c r="X124" s="1138">
        <v>0</v>
      </c>
      <c r="Y124" s="1138">
        <v>0</v>
      </c>
      <c r="Z124" s="1138">
        <v>0</v>
      </c>
      <c r="AA124" s="1138">
        <v>88687</v>
      </c>
      <c r="AB124" s="1138">
        <v>2050</v>
      </c>
      <c r="AC124" s="1138">
        <v>0</v>
      </c>
      <c r="AD124" s="1138">
        <v>0</v>
      </c>
      <c r="AE124" s="1138">
        <v>0</v>
      </c>
      <c r="AF124" s="1138">
        <v>1818</v>
      </c>
      <c r="AG124" s="1138">
        <v>0</v>
      </c>
      <c r="AH124" s="1138">
        <v>0</v>
      </c>
      <c r="AI124" s="1138">
        <v>0</v>
      </c>
      <c r="AJ124" s="1138">
        <v>0</v>
      </c>
      <c r="AK124" s="1138">
        <v>253548</v>
      </c>
      <c r="AL124" s="1138">
        <v>0</v>
      </c>
      <c r="AM124" s="1138">
        <v>0</v>
      </c>
      <c r="AN124" s="1138">
        <v>0</v>
      </c>
      <c r="AO124" s="1138">
        <v>0</v>
      </c>
      <c r="AP124" s="1138">
        <v>0</v>
      </c>
      <c r="AQ124" s="1138">
        <v>0</v>
      </c>
      <c r="AR124" s="1138">
        <v>346784</v>
      </c>
      <c r="AS124" s="1138">
        <v>0</v>
      </c>
      <c r="AT124" s="1138">
        <v>0</v>
      </c>
      <c r="AU124" s="1138">
        <v>0</v>
      </c>
      <c r="AV124" s="1138">
        <v>78981</v>
      </c>
      <c r="AW124" s="1138">
        <v>0</v>
      </c>
      <c r="AX124" s="1138">
        <v>0</v>
      </c>
      <c r="AY124" s="1138">
        <v>0</v>
      </c>
      <c r="AZ124" s="1138">
        <v>0</v>
      </c>
      <c r="BA124" s="1138">
        <v>42956</v>
      </c>
      <c r="BB124" s="1138">
        <v>0</v>
      </c>
      <c r="BC124" s="1138">
        <v>0</v>
      </c>
      <c r="BD124" s="1138">
        <v>0</v>
      </c>
      <c r="BE124" s="1138">
        <v>0</v>
      </c>
      <c r="BF124" s="1138">
        <v>0</v>
      </c>
      <c r="BG124" s="1138">
        <v>72881</v>
      </c>
      <c r="BH124" s="1138">
        <v>0</v>
      </c>
      <c r="BI124" s="1138">
        <v>0</v>
      </c>
      <c r="BJ124" s="1138">
        <v>0</v>
      </c>
      <c r="BK124" s="1138">
        <v>0</v>
      </c>
      <c r="BL124" s="1138">
        <v>13018</v>
      </c>
      <c r="BM124" s="1138">
        <v>0</v>
      </c>
      <c r="BN124" s="1138">
        <v>0</v>
      </c>
      <c r="BO124" s="1138">
        <v>0</v>
      </c>
      <c r="BP124" s="1138">
        <v>0</v>
      </c>
      <c r="BQ124" s="1138">
        <v>0</v>
      </c>
      <c r="BR124" s="1138">
        <v>0</v>
      </c>
      <c r="BS124" s="1138">
        <v>0</v>
      </c>
      <c r="BT124" s="1138">
        <v>0</v>
      </c>
      <c r="BU124" s="1138">
        <v>0</v>
      </c>
      <c r="BV124" s="1138">
        <v>0</v>
      </c>
      <c r="BW124" s="1138">
        <v>0</v>
      </c>
      <c r="BX124" s="1138">
        <v>0</v>
      </c>
      <c r="BY124" s="1138">
        <v>0</v>
      </c>
      <c r="BZ124" s="1138">
        <v>0</v>
      </c>
      <c r="CA124" s="1138">
        <v>0</v>
      </c>
      <c r="CB124" s="1138">
        <v>0</v>
      </c>
    </row>
    <row r="125" spans="1:80" x14ac:dyDescent="0.3">
      <c r="A125" s="269">
        <v>364</v>
      </c>
      <c r="B125" s="1002">
        <v>364</v>
      </c>
      <c r="C125" s="269" t="s">
        <v>243</v>
      </c>
      <c r="D125" s="269" t="s">
        <v>442</v>
      </c>
      <c r="E125" s="1138">
        <v>0</v>
      </c>
      <c r="F125" s="1138">
        <v>0</v>
      </c>
      <c r="G125" s="1138">
        <v>0</v>
      </c>
      <c r="H125" s="1138">
        <v>0</v>
      </c>
      <c r="I125" s="1138">
        <v>0</v>
      </c>
      <c r="J125" s="1138">
        <v>0</v>
      </c>
      <c r="K125" s="1138">
        <v>0</v>
      </c>
      <c r="L125" s="1138">
        <v>0</v>
      </c>
      <c r="M125" s="1138">
        <v>0</v>
      </c>
      <c r="N125" s="1138">
        <v>0</v>
      </c>
      <c r="O125" s="1138">
        <v>0</v>
      </c>
      <c r="P125" s="1138">
        <v>0</v>
      </c>
      <c r="Q125" s="1138">
        <v>0</v>
      </c>
      <c r="R125" s="1138">
        <v>0</v>
      </c>
      <c r="S125" s="1138">
        <v>0</v>
      </c>
      <c r="T125" s="1138">
        <v>8239</v>
      </c>
      <c r="U125" s="1138">
        <v>0</v>
      </c>
      <c r="V125" s="1138">
        <v>0</v>
      </c>
      <c r="W125" s="1138">
        <v>0</v>
      </c>
      <c r="X125" s="1138">
        <v>0</v>
      </c>
      <c r="Y125" s="1138">
        <v>0</v>
      </c>
      <c r="Z125" s="1138">
        <v>0</v>
      </c>
      <c r="AA125" s="1138">
        <v>4742</v>
      </c>
      <c r="AB125" s="1138">
        <v>0</v>
      </c>
      <c r="AC125" s="1138">
        <v>0</v>
      </c>
      <c r="AD125" s="1138">
        <v>0</v>
      </c>
      <c r="AE125" s="1138">
        <v>0</v>
      </c>
      <c r="AF125" s="1138">
        <v>12908</v>
      </c>
      <c r="AG125" s="1138">
        <v>0</v>
      </c>
      <c r="AH125" s="1138">
        <v>0</v>
      </c>
      <c r="AI125" s="1138">
        <v>0</v>
      </c>
      <c r="AJ125" s="1138">
        <v>0</v>
      </c>
      <c r="AK125" s="1138">
        <v>100078</v>
      </c>
      <c r="AL125" s="1138">
        <v>0</v>
      </c>
      <c r="AM125" s="1138">
        <v>0</v>
      </c>
      <c r="AN125" s="1138">
        <v>0</v>
      </c>
      <c r="AO125" s="1138">
        <v>0</v>
      </c>
      <c r="AP125" s="1138">
        <v>0</v>
      </c>
      <c r="AQ125" s="1138">
        <v>0</v>
      </c>
      <c r="AR125" s="1138">
        <v>231283</v>
      </c>
      <c r="AS125" s="1138">
        <v>0</v>
      </c>
      <c r="AT125" s="1138">
        <v>0</v>
      </c>
      <c r="AU125" s="1138">
        <v>0</v>
      </c>
      <c r="AV125" s="1138">
        <v>0</v>
      </c>
      <c r="AW125" s="1138">
        <v>0</v>
      </c>
      <c r="AX125" s="1138">
        <v>0</v>
      </c>
      <c r="AY125" s="1138">
        <v>0</v>
      </c>
      <c r="AZ125" s="1138">
        <v>0</v>
      </c>
      <c r="BA125" s="1138">
        <v>13393</v>
      </c>
      <c r="BB125" s="1138">
        <v>0</v>
      </c>
      <c r="BC125" s="1138">
        <v>0</v>
      </c>
      <c r="BD125" s="1138">
        <v>0</v>
      </c>
      <c r="BE125" s="1138">
        <v>0</v>
      </c>
      <c r="BF125" s="1138">
        <v>0</v>
      </c>
      <c r="BG125" s="1138">
        <v>0</v>
      </c>
      <c r="BH125" s="1138">
        <v>0</v>
      </c>
      <c r="BI125" s="1138">
        <v>0</v>
      </c>
      <c r="BJ125" s="1138">
        <v>0</v>
      </c>
      <c r="BK125" s="1138">
        <v>0</v>
      </c>
      <c r="BL125" s="1138">
        <v>0</v>
      </c>
      <c r="BM125" s="1138">
        <v>0</v>
      </c>
      <c r="BN125" s="1138">
        <v>0</v>
      </c>
      <c r="BO125" s="1138">
        <v>0</v>
      </c>
      <c r="BP125" s="1138">
        <v>0</v>
      </c>
      <c r="BQ125" s="1138">
        <v>0</v>
      </c>
      <c r="BR125" s="1138">
        <v>0</v>
      </c>
      <c r="BS125" s="1138">
        <v>0</v>
      </c>
      <c r="BT125" s="1138">
        <v>0</v>
      </c>
      <c r="BU125" s="1138">
        <v>0</v>
      </c>
      <c r="BV125" s="1138">
        <v>0</v>
      </c>
      <c r="BW125" s="1138">
        <v>0</v>
      </c>
      <c r="BX125" s="1138">
        <v>0</v>
      </c>
      <c r="BY125" s="1138">
        <v>0</v>
      </c>
      <c r="BZ125" s="1138">
        <v>0</v>
      </c>
      <c r="CA125" s="1138">
        <v>0</v>
      </c>
      <c r="CB125" s="1138">
        <v>0</v>
      </c>
    </row>
    <row r="126" spans="1:80" x14ac:dyDescent="0.3">
      <c r="A126" s="269">
        <v>365</v>
      </c>
      <c r="B126" s="1002">
        <v>365</v>
      </c>
      <c r="C126" s="269" t="s">
        <v>245</v>
      </c>
      <c r="D126" s="269" t="s">
        <v>443</v>
      </c>
      <c r="E126" s="1138">
        <v>0</v>
      </c>
      <c r="F126" s="1138">
        <v>0</v>
      </c>
      <c r="G126" s="1138">
        <v>0</v>
      </c>
      <c r="H126" s="1138">
        <v>0</v>
      </c>
      <c r="I126" s="1138">
        <v>0</v>
      </c>
      <c r="J126" s="1138">
        <v>0</v>
      </c>
      <c r="K126" s="1138">
        <v>0</v>
      </c>
      <c r="L126" s="1138">
        <v>0</v>
      </c>
      <c r="M126" s="1138">
        <v>0</v>
      </c>
      <c r="N126" s="1138">
        <v>0</v>
      </c>
      <c r="O126" s="1138">
        <v>0</v>
      </c>
      <c r="P126" s="1138">
        <v>0</v>
      </c>
      <c r="Q126" s="1138">
        <v>0</v>
      </c>
      <c r="R126" s="1138">
        <v>0</v>
      </c>
      <c r="S126" s="1138">
        <v>0</v>
      </c>
      <c r="T126" s="1138">
        <v>0</v>
      </c>
      <c r="U126" s="1138">
        <v>0</v>
      </c>
      <c r="V126" s="1138">
        <v>0</v>
      </c>
      <c r="W126" s="1138">
        <v>0</v>
      </c>
      <c r="X126" s="1138">
        <v>0</v>
      </c>
      <c r="Y126" s="1138">
        <v>0</v>
      </c>
      <c r="Z126" s="1138">
        <v>0</v>
      </c>
      <c r="AA126" s="1138">
        <v>0</v>
      </c>
      <c r="AB126" s="1138">
        <v>0</v>
      </c>
      <c r="AC126" s="1138">
        <v>0</v>
      </c>
      <c r="AD126" s="1138">
        <v>0</v>
      </c>
      <c r="AE126" s="1138">
        <v>0</v>
      </c>
      <c r="AF126" s="1138">
        <v>0</v>
      </c>
      <c r="AG126" s="1138">
        <v>0</v>
      </c>
      <c r="AH126" s="1138">
        <v>0</v>
      </c>
      <c r="AI126" s="1138">
        <v>0</v>
      </c>
      <c r="AJ126" s="1138">
        <v>0</v>
      </c>
      <c r="AK126" s="1138">
        <v>0</v>
      </c>
      <c r="AL126" s="1138">
        <v>0</v>
      </c>
      <c r="AM126" s="1138">
        <v>0</v>
      </c>
      <c r="AN126" s="1138">
        <v>0</v>
      </c>
      <c r="AO126" s="1138">
        <v>0</v>
      </c>
      <c r="AP126" s="1138">
        <v>0</v>
      </c>
      <c r="AQ126" s="1138">
        <v>0</v>
      </c>
      <c r="AR126" s="1138">
        <v>2466547</v>
      </c>
      <c r="AS126" s="1138">
        <v>0</v>
      </c>
      <c r="AT126" s="1138">
        <v>0</v>
      </c>
      <c r="AU126" s="1138">
        <v>0</v>
      </c>
      <c r="AV126" s="1138">
        <v>0</v>
      </c>
      <c r="AW126" s="1138">
        <v>0</v>
      </c>
      <c r="AX126" s="1138">
        <v>0</v>
      </c>
      <c r="AY126" s="1138">
        <v>0</v>
      </c>
      <c r="AZ126" s="1138">
        <v>0</v>
      </c>
      <c r="BA126" s="1138">
        <v>0</v>
      </c>
      <c r="BB126" s="1138">
        <v>0</v>
      </c>
      <c r="BC126" s="1138">
        <v>0</v>
      </c>
      <c r="BD126" s="1138">
        <v>0</v>
      </c>
      <c r="BE126" s="1138">
        <v>0</v>
      </c>
      <c r="BF126" s="1138">
        <v>0</v>
      </c>
      <c r="BG126" s="1138">
        <v>0</v>
      </c>
      <c r="BH126" s="1138">
        <v>0</v>
      </c>
      <c r="BI126" s="1138">
        <v>0</v>
      </c>
      <c r="BJ126" s="1138">
        <v>0</v>
      </c>
      <c r="BK126" s="1138">
        <v>0</v>
      </c>
      <c r="BL126" s="1138">
        <v>0</v>
      </c>
      <c r="BM126" s="1138">
        <v>0</v>
      </c>
      <c r="BN126" s="1138">
        <v>0</v>
      </c>
      <c r="BO126" s="1138">
        <v>0</v>
      </c>
      <c r="BP126" s="1138">
        <v>0</v>
      </c>
      <c r="BQ126" s="1138">
        <v>0</v>
      </c>
      <c r="BR126" s="1138">
        <v>0</v>
      </c>
      <c r="BS126" s="1138">
        <v>0</v>
      </c>
      <c r="BT126" s="1138">
        <v>0</v>
      </c>
      <c r="BU126" s="1138">
        <v>0</v>
      </c>
      <c r="BV126" s="1138">
        <v>0</v>
      </c>
      <c r="BW126" s="1138">
        <v>0</v>
      </c>
      <c r="BX126" s="1138">
        <v>0</v>
      </c>
      <c r="BY126" s="1138">
        <v>0</v>
      </c>
      <c r="BZ126" s="1138">
        <v>0</v>
      </c>
      <c r="CA126" s="1138">
        <v>0</v>
      </c>
      <c r="CB126" s="1138">
        <v>0</v>
      </c>
    </row>
    <row r="127" spans="1:80" x14ac:dyDescent="0.3">
      <c r="A127" s="269">
        <v>366</v>
      </c>
      <c r="B127" s="1002">
        <v>366</v>
      </c>
      <c r="C127" s="269" t="s">
        <v>536</v>
      </c>
      <c r="D127" s="269" t="s">
        <v>444</v>
      </c>
      <c r="E127" s="1138">
        <v>0</v>
      </c>
      <c r="F127" s="1138">
        <v>0</v>
      </c>
      <c r="G127" s="1138">
        <v>0</v>
      </c>
      <c r="H127" s="1138">
        <v>0</v>
      </c>
      <c r="I127" s="1138">
        <v>0</v>
      </c>
      <c r="J127" s="1138">
        <v>0</v>
      </c>
      <c r="K127" s="1138">
        <v>0</v>
      </c>
      <c r="L127" s="1138">
        <v>0</v>
      </c>
      <c r="M127" s="1138">
        <v>0</v>
      </c>
      <c r="N127" s="1138">
        <v>0</v>
      </c>
      <c r="O127" s="1138">
        <v>0</v>
      </c>
      <c r="P127" s="1138">
        <v>0</v>
      </c>
      <c r="Q127" s="1138">
        <v>0</v>
      </c>
      <c r="R127" s="1138">
        <v>0</v>
      </c>
      <c r="S127" s="1138">
        <v>0</v>
      </c>
      <c r="T127" s="1138">
        <v>2279757</v>
      </c>
      <c r="U127" s="1138">
        <v>0</v>
      </c>
      <c r="V127" s="1138">
        <v>3683300</v>
      </c>
      <c r="W127" s="1138">
        <v>0</v>
      </c>
      <c r="X127" s="1138">
        <v>0</v>
      </c>
      <c r="Y127" s="1138">
        <v>0</v>
      </c>
      <c r="Z127" s="1138">
        <v>0</v>
      </c>
      <c r="AA127" s="1138">
        <v>152206</v>
      </c>
      <c r="AB127" s="1138">
        <v>0</v>
      </c>
      <c r="AC127" s="1138">
        <v>0</v>
      </c>
      <c r="AD127" s="1138">
        <v>0</v>
      </c>
      <c r="AE127" s="1138">
        <v>0</v>
      </c>
      <c r="AF127" s="1138">
        <v>0</v>
      </c>
      <c r="AG127" s="1138">
        <v>0</v>
      </c>
      <c r="AH127" s="1138">
        <v>0</v>
      </c>
      <c r="AI127" s="1138">
        <v>0</v>
      </c>
      <c r="AJ127" s="1138">
        <v>0</v>
      </c>
      <c r="AK127" s="1138">
        <v>1788332</v>
      </c>
      <c r="AL127" s="1138">
        <v>0</v>
      </c>
      <c r="AM127" s="1138">
        <v>0</v>
      </c>
      <c r="AN127" s="1138">
        <v>0</v>
      </c>
      <c r="AO127" s="1138">
        <v>0</v>
      </c>
      <c r="AP127" s="1138">
        <v>0</v>
      </c>
      <c r="AQ127" s="1138">
        <v>0</v>
      </c>
      <c r="AR127" s="1138">
        <v>1426993</v>
      </c>
      <c r="AS127" s="1138">
        <v>0</v>
      </c>
      <c r="AT127" s="1138">
        <v>0</v>
      </c>
      <c r="AU127" s="1138">
        <v>0</v>
      </c>
      <c r="AV127" s="1138">
        <v>25975</v>
      </c>
      <c r="AW127" s="1138">
        <v>0</v>
      </c>
      <c r="AX127" s="1138">
        <v>0</v>
      </c>
      <c r="AY127" s="1138">
        <v>0</v>
      </c>
      <c r="AZ127" s="1138">
        <v>0</v>
      </c>
      <c r="BA127" s="1138">
        <v>367305</v>
      </c>
      <c r="BB127" s="1138">
        <v>0</v>
      </c>
      <c r="BC127" s="1138">
        <v>0</v>
      </c>
      <c r="BD127" s="1138">
        <v>0</v>
      </c>
      <c r="BE127" s="1138">
        <v>0</v>
      </c>
      <c r="BF127" s="1138">
        <v>0</v>
      </c>
      <c r="BG127" s="1138">
        <v>0</v>
      </c>
      <c r="BH127" s="1138">
        <v>0</v>
      </c>
      <c r="BI127" s="1138">
        <v>0</v>
      </c>
      <c r="BJ127" s="1138">
        <v>0</v>
      </c>
      <c r="BK127" s="1138">
        <v>0</v>
      </c>
      <c r="BL127" s="1138">
        <v>0</v>
      </c>
      <c r="BM127" s="1138">
        <v>0</v>
      </c>
      <c r="BN127" s="1138">
        <v>0</v>
      </c>
      <c r="BO127" s="1138">
        <v>0</v>
      </c>
      <c r="BP127" s="1138">
        <v>0</v>
      </c>
      <c r="BQ127" s="1138">
        <v>0</v>
      </c>
      <c r="BR127" s="1138">
        <v>0</v>
      </c>
      <c r="BS127" s="1138">
        <v>0</v>
      </c>
      <c r="BT127" s="1138">
        <v>0</v>
      </c>
      <c r="BU127" s="1138">
        <v>0</v>
      </c>
      <c r="BV127" s="1138">
        <v>0</v>
      </c>
      <c r="BW127" s="1138">
        <v>0</v>
      </c>
      <c r="BX127" s="1138">
        <v>0</v>
      </c>
      <c r="BY127" s="1138">
        <v>0</v>
      </c>
      <c r="BZ127" s="1138">
        <v>0</v>
      </c>
      <c r="CA127" s="1138">
        <v>0</v>
      </c>
      <c r="CB127" s="1138">
        <v>0</v>
      </c>
    </row>
    <row r="128" spans="1:80" x14ac:dyDescent="0.3">
      <c r="B128" s="1002">
        <v>367</v>
      </c>
      <c r="C128" s="269" t="s">
        <v>642</v>
      </c>
      <c r="D128" s="269" t="s">
        <v>445</v>
      </c>
      <c r="E128" s="1138"/>
      <c r="F128" s="1138"/>
      <c r="G128" s="1138"/>
      <c r="H128" s="1138"/>
      <c r="I128" s="1138"/>
      <c r="J128" s="1138"/>
      <c r="K128" s="1138"/>
      <c r="L128" s="1138"/>
      <c r="M128" s="1138"/>
      <c r="N128" s="1138"/>
      <c r="O128" s="1138"/>
      <c r="P128" s="1138"/>
      <c r="Q128" s="1138"/>
      <c r="R128" s="1138"/>
      <c r="S128" s="1138"/>
      <c r="T128" s="1138"/>
      <c r="U128" s="1138"/>
      <c r="V128" s="1138"/>
      <c r="W128" s="1138"/>
      <c r="X128" s="1138"/>
      <c r="Y128" s="1138"/>
      <c r="Z128" s="1138"/>
      <c r="AA128" s="1138"/>
      <c r="AB128" s="1138"/>
      <c r="AC128" s="1138"/>
      <c r="AD128" s="1138"/>
      <c r="AE128" s="1138"/>
      <c r="AF128" s="1138"/>
      <c r="AG128" s="1138"/>
      <c r="AH128" s="1138"/>
      <c r="AI128" s="1138"/>
      <c r="AJ128" s="1138"/>
      <c r="AK128" s="1138"/>
      <c r="AL128" s="1138"/>
      <c r="AM128" s="1138"/>
      <c r="AN128" s="1138"/>
      <c r="AO128" s="1138"/>
      <c r="AP128" s="1138"/>
      <c r="AQ128" s="1138"/>
      <c r="AR128" s="1138"/>
      <c r="AS128" s="1138"/>
      <c r="AT128" s="1138"/>
      <c r="AU128" s="1138"/>
      <c r="AV128" s="1138"/>
      <c r="AW128" s="1138"/>
      <c r="AX128" s="1138"/>
      <c r="AY128" s="1138"/>
      <c r="AZ128" s="1138"/>
      <c r="BA128" s="1138"/>
      <c r="BB128" s="1138"/>
      <c r="BC128" s="1138"/>
      <c r="BD128" s="1138"/>
      <c r="BE128" s="1138"/>
      <c r="BF128" s="1138"/>
      <c r="BG128" s="1138"/>
      <c r="BH128" s="1138"/>
      <c r="BI128" s="1138"/>
      <c r="BJ128" s="1138"/>
      <c r="BK128" s="1138"/>
      <c r="BL128" s="1138"/>
      <c r="BM128" s="1138"/>
      <c r="BN128" s="1138"/>
      <c r="BO128" s="1138"/>
      <c r="BP128" s="1138"/>
      <c r="BQ128" s="1138"/>
      <c r="BR128" s="1138"/>
      <c r="BS128" s="1138"/>
      <c r="BT128" s="1138"/>
      <c r="BU128" s="1138"/>
      <c r="BV128" s="1138"/>
      <c r="BW128" s="1138"/>
      <c r="BX128" s="1138"/>
      <c r="BY128" s="1138"/>
      <c r="BZ128" s="1138"/>
      <c r="CA128" s="1138"/>
      <c r="CB128" s="1138"/>
    </row>
    <row r="129" spans="1:80" x14ac:dyDescent="0.3">
      <c r="A129" s="269">
        <v>368</v>
      </c>
      <c r="B129" s="1002">
        <v>368</v>
      </c>
      <c r="C129" s="269" t="s">
        <v>200</v>
      </c>
      <c r="D129" s="269" t="s">
        <v>446</v>
      </c>
      <c r="E129" s="1138">
        <v>0</v>
      </c>
      <c r="F129" s="1138">
        <v>145</v>
      </c>
      <c r="G129" s="1138">
        <v>0</v>
      </c>
      <c r="H129" s="1138">
        <v>0</v>
      </c>
      <c r="I129" s="1138">
        <v>1025</v>
      </c>
      <c r="J129" s="1138">
        <v>0</v>
      </c>
      <c r="K129" s="1138">
        <v>0</v>
      </c>
      <c r="L129" s="1138">
        <v>0</v>
      </c>
      <c r="M129" s="1138">
        <v>0</v>
      </c>
      <c r="N129" s="1138">
        <v>0</v>
      </c>
      <c r="O129" s="1138">
        <v>0</v>
      </c>
      <c r="P129" s="1138">
        <v>0</v>
      </c>
      <c r="Q129" s="1138">
        <v>574151</v>
      </c>
      <c r="R129" s="1138">
        <v>0</v>
      </c>
      <c r="S129" s="1138">
        <v>0</v>
      </c>
      <c r="T129" s="1138">
        <v>0</v>
      </c>
      <c r="U129" s="1138">
        <v>0</v>
      </c>
      <c r="V129" s="1138">
        <v>0</v>
      </c>
      <c r="W129" s="1138">
        <v>0</v>
      </c>
      <c r="X129" s="1138">
        <v>0</v>
      </c>
      <c r="Y129" s="1138">
        <v>0</v>
      </c>
      <c r="Z129" s="1138">
        <v>0</v>
      </c>
      <c r="AA129" s="1138">
        <v>0</v>
      </c>
      <c r="AB129" s="1138">
        <v>0</v>
      </c>
      <c r="AC129" s="1138">
        <v>0</v>
      </c>
      <c r="AD129" s="1138">
        <v>0</v>
      </c>
      <c r="AE129" s="1138">
        <v>0</v>
      </c>
      <c r="AF129" s="1138">
        <v>0</v>
      </c>
      <c r="AG129" s="1138">
        <v>0</v>
      </c>
      <c r="AH129" s="1138">
        <v>0</v>
      </c>
      <c r="AI129" s="1138">
        <v>0</v>
      </c>
      <c r="AJ129" s="1138">
        <v>0</v>
      </c>
      <c r="AK129" s="1138">
        <v>0</v>
      </c>
      <c r="AL129" s="1138">
        <v>0</v>
      </c>
      <c r="AM129" s="1138">
        <v>0</v>
      </c>
      <c r="AN129" s="1138">
        <v>0</v>
      </c>
      <c r="AO129" s="1138">
        <v>0</v>
      </c>
      <c r="AP129" s="1138">
        <v>0</v>
      </c>
      <c r="AQ129" s="1138">
        <v>200346</v>
      </c>
      <c r="AR129" s="1138">
        <v>103100</v>
      </c>
      <c r="AS129" s="1138">
        <v>0</v>
      </c>
      <c r="AT129" s="1138">
        <v>0</v>
      </c>
      <c r="AU129" s="1138">
        <v>0</v>
      </c>
      <c r="AV129" s="1138">
        <v>0</v>
      </c>
      <c r="AW129" s="1138">
        <v>0</v>
      </c>
      <c r="AX129" s="1138">
        <v>0</v>
      </c>
      <c r="AY129" s="1138">
        <v>0</v>
      </c>
      <c r="AZ129" s="1138">
        <v>0</v>
      </c>
      <c r="BA129" s="1138">
        <v>0</v>
      </c>
      <c r="BB129" s="1138">
        <v>0</v>
      </c>
      <c r="BC129" s="1138">
        <v>0</v>
      </c>
      <c r="BD129" s="1138">
        <v>0</v>
      </c>
      <c r="BE129" s="1138">
        <v>0</v>
      </c>
      <c r="BF129" s="1138">
        <v>0</v>
      </c>
      <c r="BG129" s="1138">
        <v>0</v>
      </c>
      <c r="BH129" s="1138">
        <v>0</v>
      </c>
      <c r="BI129" s="1138">
        <v>0</v>
      </c>
      <c r="BJ129" s="1138">
        <v>17610</v>
      </c>
      <c r="BK129" s="1138">
        <v>0</v>
      </c>
      <c r="BL129" s="1138">
        <v>1185</v>
      </c>
      <c r="BM129" s="1138">
        <v>0</v>
      </c>
      <c r="BN129" s="1138">
        <v>0</v>
      </c>
      <c r="BO129" s="1138">
        <v>13232</v>
      </c>
      <c r="BP129" s="1138">
        <v>0</v>
      </c>
      <c r="BQ129" s="1138">
        <v>0</v>
      </c>
      <c r="BR129" s="1138">
        <v>0</v>
      </c>
      <c r="BS129" s="1138">
        <v>33020</v>
      </c>
      <c r="BT129" s="1138">
        <v>0</v>
      </c>
      <c r="BU129" s="1138">
        <v>0</v>
      </c>
      <c r="BV129" s="1138">
        <v>0</v>
      </c>
      <c r="BW129" s="1138">
        <v>0</v>
      </c>
      <c r="BX129" s="1138">
        <v>0</v>
      </c>
      <c r="BY129" s="1138">
        <v>0</v>
      </c>
      <c r="BZ129" s="1138">
        <v>0</v>
      </c>
      <c r="CA129" s="1138">
        <v>584374</v>
      </c>
      <c r="CB129" s="1138">
        <v>0</v>
      </c>
    </row>
    <row r="130" spans="1:80" x14ac:dyDescent="0.3">
      <c r="A130" s="269">
        <v>369</v>
      </c>
      <c r="B130" s="1002">
        <v>369</v>
      </c>
      <c r="C130" s="269" t="s">
        <v>205</v>
      </c>
      <c r="D130" s="269" t="s">
        <v>447</v>
      </c>
      <c r="E130" s="1138">
        <v>913216</v>
      </c>
      <c r="F130" s="1138">
        <v>5362015</v>
      </c>
      <c r="G130" s="1138">
        <v>0</v>
      </c>
      <c r="H130" s="1138">
        <v>6584422</v>
      </c>
      <c r="I130" s="1138">
        <v>1295380</v>
      </c>
      <c r="J130" s="1138">
        <v>102920</v>
      </c>
      <c r="K130" s="1138">
        <v>716677</v>
      </c>
      <c r="L130" s="1138">
        <v>1305125</v>
      </c>
      <c r="M130" s="1138">
        <v>8412783</v>
      </c>
      <c r="N130" s="1138">
        <v>70410</v>
      </c>
      <c r="O130" s="1138">
        <v>379018</v>
      </c>
      <c r="P130" s="1138">
        <v>604981</v>
      </c>
      <c r="Q130" s="1138">
        <v>9521523</v>
      </c>
      <c r="R130" s="1138">
        <v>2059079</v>
      </c>
      <c r="S130" s="1138">
        <v>3261529</v>
      </c>
      <c r="T130" s="1138">
        <v>868207</v>
      </c>
      <c r="U130" s="1138">
        <v>0</v>
      </c>
      <c r="V130" s="1138">
        <v>1263431</v>
      </c>
      <c r="W130" s="1138">
        <v>19562</v>
      </c>
      <c r="X130" s="1138">
        <v>2206449</v>
      </c>
      <c r="Y130" s="1138">
        <v>5205567</v>
      </c>
      <c r="Z130" s="1138">
        <v>1887191</v>
      </c>
      <c r="AA130" s="1138">
        <v>336447</v>
      </c>
      <c r="AB130" s="1138">
        <v>1684104</v>
      </c>
      <c r="AC130" s="1138">
        <v>419747</v>
      </c>
      <c r="AD130" s="1138">
        <v>8470</v>
      </c>
      <c r="AE130" s="1138">
        <v>502855</v>
      </c>
      <c r="AF130" s="1138">
        <v>1292203</v>
      </c>
      <c r="AG130" s="1138">
        <v>114690</v>
      </c>
      <c r="AH130" s="1138">
        <v>38379</v>
      </c>
      <c r="AI130" s="1138">
        <v>12110</v>
      </c>
      <c r="AJ130" s="1138">
        <v>1008394</v>
      </c>
      <c r="AK130" s="1138">
        <v>2009971</v>
      </c>
      <c r="AL130" s="1138">
        <v>262053</v>
      </c>
      <c r="AM130" s="1138">
        <v>16291</v>
      </c>
      <c r="AN130" s="1138">
        <v>9221216</v>
      </c>
      <c r="AO130" s="1138">
        <v>3079353</v>
      </c>
      <c r="AP130" s="1138">
        <v>168080</v>
      </c>
      <c r="AQ130" s="1138">
        <v>2107695</v>
      </c>
      <c r="AR130" s="1138">
        <v>8162211</v>
      </c>
      <c r="AS130" s="1138">
        <v>1215284</v>
      </c>
      <c r="AT130" s="1138">
        <v>209984</v>
      </c>
      <c r="AU130" s="1138">
        <v>1808914</v>
      </c>
      <c r="AV130" s="1138">
        <v>5693932</v>
      </c>
      <c r="AW130" s="1138">
        <v>43383</v>
      </c>
      <c r="AX130" s="1138">
        <v>192950</v>
      </c>
      <c r="AY130" s="1138">
        <v>1420829</v>
      </c>
      <c r="AZ130" s="1138">
        <v>542084</v>
      </c>
      <c r="BA130" s="1138">
        <v>1344558</v>
      </c>
      <c r="BB130" s="1138">
        <v>47023</v>
      </c>
      <c r="BC130" s="1138">
        <v>0</v>
      </c>
      <c r="BD130" s="1138">
        <v>0</v>
      </c>
      <c r="BE130" s="1138">
        <v>41108</v>
      </c>
      <c r="BF130" s="1138">
        <v>0</v>
      </c>
      <c r="BG130" s="1138">
        <v>123885</v>
      </c>
      <c r="BH130" s="1138">
        <v>46823</v>
      </c>
      <c r="BI130" s="1138">
        <v>1148199</v>
      </c>
      <c r="BJ130" s="1138">
        <v>100749</v>
      </c>
      <c r="BK130" s="1138">
        <v>0</v>
      </c>
      <c r="BL130" s="1138">
        <v>1941577</v>
      </c>
      <c r="BM130" s="1138">
        <v>525551</v>
      </c>
      <c r="BN130" s="1138">
        <v>48683</v>
      </c>
      <c r="BO130" s="1138">
        <v>1114818</v>
      </c>
      <c r="BP130" s="1138">
        <v>775718</v>
      </c>
      <c r="BQ130" s="1138">
        <v>414108</v>
      </c>
      <c r="BR130" s="1138">
        <v>596990</v>
      </c>
      <c r="BS130" s="1138">
        <v>667620</v>
      </c>
      <c r="BT130" s="1138">
        <v>1231517</v>
      </c>
      <c r="BU130" s="1138">
        <v>1237545</v>
      </c>
      <c r="BV130" s="1138">
        <v>450790</v>
      </c>
      <c r="BW130" s="1138">
        <v>222704</v>
      </c>
      <c r="BX130" s="1138">
        <v>451321</v>
      </c>
      <c r="BY130" s="1138">
        <v>35626</v>
      </c>
      <c r="BZ130" s="1138">
        <v>37061</v>
      </c>
      <c r="CA130" s="1138">
        <v>6078526</v>
      </c>
      <c r="CB130" s="1138">
        <v>78355</v>
      </c>
    </row>
    <row r="131" spans="1:80" x14ac:dyDescent="0.3">
      <c r="A131" s="269">
        <v>370</v>
      </c>
      <c r="B131" s="1002">
        <v>370</v>
      </c>
      <c r="C131" s="269" t="s">
        <v>207</v>
      </c>
      <c r="D131" s="269" t="s">
        <v>448</v>
      </c>
      <c r="E131" s="1138">
        <v>32935</v>
      </c>
      <c r="F131" s="1138">
        <v>1752049</v>
      </c>
      <c r="G131" s="1138">
        <v>0</v>
      </c>
      <c r="H131" s="1138">
        <v>3988736</v>
      </c>
      <c r="I131" s="1138">
        <v>196678</v>
      </c>
      <c r="J131" s="1138">
        <v>0</v>
      </c>
      <c r="K131" s="1138">
        <v>0</v>
      </c>
      <c r="L131" s="1138">
        <v>95558</v>
      </c>
      <c r="M131" s="1138">
        <v>8428016</v>
      </c>
      <c r="N131" s="1138">
        <v>0</v>
      </c>
      <c r="O131" s="1138">
        <v>11270</v>
      </c>
      <c r="P131" s="1138">
        <v>43106</v>
      </c>
      <c r="Q131" s="1138">
        <v>3550879</v>
      </c>
      <c r="R131" s="1138">
        <v>2978562</v>
      </c>
      <c r="S131" s="1138">
        <v>465512</v>
      </c>
      <c r="T131" s="1138">
        <v>621069</v>
      </c>
      <c r="U131" s="1138">
        <v>0</v>
      </c>
      <c r="V131" s="1138">
        <v>962099</v>
      </c>
      <c r="W131" s="1138">
        <v>0</v>
      </c>
      <c r="X131" s="1138">
        <v>2132787</v>
      </c>
      <c r="Y131" s="1138">
        <v>715473</v>
      </c>
      <c r="Z131" s="1138">
        <v>816208</v>
      </c>
      <c r="AA131" s="1138">
        <v>97898</v>
      </c>
      <c r="AB131" s="1138">
        <v>282563</v>
      </c>
      <c r="AC131" s="1138">
        <v>0</v>
      </c>
      <c r="AD131" s="1138">
        <v>4894</v>
      </c>
      <c r="AE131" s="1138">
        <v>70740</v>
      </c>
      <c r="AF131" s="1138">
        <v>269530</v>
      </c>
      <c r="AG131" s="1138">
        <v>5052</v>
      </c>
      <c r="AH131" s="1138">
        <v>0</v>
      </c>
      <c r="AI131" s="1138">
        <v>0</v>
      </c>
      <c r="AJ131" s="1138">
        <v>0</v>
      </c>
      <c r="AK131" s="1138">
        <v>604090</v>
      </c>
      <c r="AL131" s="1138">
        <v>0</v>
      </c>
      <c r="AM131" s="1138">
        <v>0</v>
      </c>
      <c r="AN131" s="1138">
        <v>1621480</v>
      </c>
      <c r="AO131" s="1138">
        <v>786777</v>
      </c>
      <c r="AP131" s="1138">
        <v>0</v>
      </c>
      <c r="AQ131" s="1138">
        <v>207214</v>
      </c>
      <c r="AR131" s="1138">
        <v>1033172</v>
      </c>
      <c r="AS131" s="1138">
        <v>47612</v>
      </c>
      <c r="AT131" s="1138">
        <v>108163</v>
      </c>
      <c r="AU131" s="1138">
        <v>2849398</v>
      </c>
      <c r="AV131" s="1138">
        <v>394488</v>
      </c>
      <c r="AW131" s="1138">
        <v>0</v>
      </c>
      <c r="AX131" s="1138">
        <v>3514</v>
      </c>
      <c r="AY131" s="1138">
        <v>198692</v>
      </c>
      <c r="AZ131" s="1138">
        <v>78236</v>
      </c>
      <c r="BA131" s="1138">
        <v>128017</v>
      </c>
      <c r="BB131" s="1138">
        <v>0</v>
      </c>
      <c r="BC131" s="1138">
        <v>0</v>
      </c>
      <c r="BD131" s="1138">
        <v>0</v>
      </c>
      <c r="BE131" s="1138">
        <v>0</v>
      </c>
      <c r="BF131" s="1138">
        <v>0</v>
      </c>
      <c r="BG131" s="1138">
        <v>0</v>
      </c>
      <c r="BH131" s="1138">
        <v>0</v>
      </c>
      <c r="BI131" s="1138">
        <v>38826</v>
      </c>
      <c r="BJ131" s="1138">
        <v>194685</v>
      </c>
      <c r="BK131" s="1138">
        <v>0</v>
      </c>
      <c r="BL131" s="1138">
        <v>276905</v>
      </c>
      <c r="BM131" s="1138">
        <v>0</v>
      </c>
      <c r="BN131" s="1138">
        <v>0</v>
      </c>
      <c r="BO131" s="1138">
        <v>220529</v>
      </c>
      <c r="BP131" s="1138">
        <v>0</v>
      </c>
      <c r="BQ131" s="1138">
        <v>12304</v>
      </c>
      <c r="BR131" s="1138">
        <v>0</v>
      </c>
      <c r="BS131" s="1138">
        <v>0</v>
      </c>
      <c r="BT131" s="1138">
        <v>1197266</v>
      </c>
      <c r="BU131" s="1138">
        <v>62330</v>
      </c>
      <c r="BV131" s="1138">
        <v>87658</v>
      </c>
      <c r="BW131" s="1138">
        <v>83200</v>
      </c>
      <c r="BX131" s="1138">
        <v>0</v>
      </c>
      <c r="BY131" s="1138">
        <v>0</v>
      </c>
      <c r="BZ131" s="1138">
        <v>0</v>
      </c>
      <c r="CA131" s="1138">
        <v>1633032</v>
      </c>
      <c r="CB131" s="1138">
        <v>4956</v>
      </c>
    </row>
    <row r="132" spans="1:80" x14ac:dyDescent="0.3">
      <c r="A132" s="269">
        <v>371</v>
      </c>
      <c r="B132" s="1002">
        <v>371</v>
      </c>
      <c r="C132" s="269" t="s">
        <v>262</v>
      </c>
      <c r="D132" s="269" t="s">
        <v>449</v>
      </c>
      <c r="E132" s="1138">
        <v>0</v>
      </c>
      <c r="F132" s="1138">
        <v>2016077</v>
      </c>
      <c r="G132" s="1138">
        <v>0</v>
      </c>
      <c r="H132" s="1138">
        <v>0</v>
      </c>
      <c r="I132" s="1138">
        <v>0</v>
      </c>
      <c r="J132" s="1138">
        <v>0</v>
      </c>
      <c r="K132" s="1138">
        <v>0</v>
      </c>
      <c r="L132" s="1138">
        <v>0</v>
      </c>
      <c r="M132" s="1138">
        <v>0</v>
      </c>
      <c r="N132" s="1138">
        <v>0</v>
      </c>
      <c r="O132" s="1138">
        <v>0</v>
      </c>
      <c r="P132" s="1138">
        <v>0</v>
      </c>
      <c r="Q132" s="1138">
        <v>0</v>
      </c>
      <c r="R132" s="1138">
        <v>0</v>
      </c>
      <c r="S132" s="1138">
        <v>0</v>
      </c>
      <c r="T132" s="1138">
        <v>0</v>
      </c>
      <c r="U132" s="1138">
        <v>0</v>
      </c>
      <c r="V132" s="1138">
        <v>0</v>
      </c>
      <c r="W132" s="1138">
        <v>0</v>
      </c>
      <c r="X132" s="1138">
        <v>0</v>
      </c>
      <c r="Y132" s="1138">
        <v>0</v>
      </c>
      <c r="Z132" s="1138">
        <v>0</v>
      </c>
      <c r="AA132" s="1138">
        <v>0</v>
      </c>
      <c r="AB132" s="1138">
        <v>0</v>
      </c>
      <c r="AC132" s="1138">
        <v>0</v>
      </c>
      <c r="AD132" s="1138">
        <v>0</v>
      </c>
      <c r="AE132" s="1138">
        <v>0</v>
      </c>
      <c r="AF132" s="1138">
        <v>0</v>
      </c>
      <c r="AG132" s="1138">
        <v>0</v>
      </c>
      <c r="AH132" s="1138">
        <v>0</v>
      </c>
      <c r="AI132" s="1138">
        <v>0</v>
      </c>
      <c r="AJ132" s="1138">
        <v>0</v>
      </c>
      <c r="AK132" s="1138">
        <v>0</v>
      </c>
      <c r="AL132" s="1138">
        <v>0</v>
      </c>
      <c r="AM132" s="1138">
        <v>0</v>
      </c>
      <c r="AN132" s="1138">
        <v>0</v>
      </c>
      <c r="AO132" s="1138">
        <v>0</v>
      </c>
      <c r="AP132" s="1138">
        <v>0</v>
      </c>
      <c r="AQ132" s="1138">
        <v>0</v>
      </c>
      <c r="AR132" s="1138">
        <v>0</v>
      </c>
      <c r="AS132" s="1138">
        <v>0</v>
      </c>
      <c r="AT132" s="1138">
        <v>0</v>
      </c>
      <c r="AU132" s="1138">
        <v>0</v>
      </c>
      <c r="AV132" s="1138">
        <v>0</v>
      </c>
      <c r="AW132" s="1138">
        <v>0</v>
      </c>
      <c r="AX132" s="1138">
        <v>0</v>
      </c>
      <c r="AY132" s="1138">
        <v>0</v>
      </c>
      <c r="AZ132" s="1138">
        <v>0</v>
      </c>
      <c r="BA132" s="1138">
        <v>0</v>
      </c>
      <c r="BB132" s="1138">
        <v>0</v>
      </c>
      <c r="BC132" s="1138">
        <v>0</v>
      </c>
      <c r="BD132" s="1138">
        <v>0</v>
      </c>
      <c r="BE132" s="1138">
        <v>0</v>
      </c>
      <c r="BF132" s="1138">
        <v>0</v>
      </c>
      <c r="BG132" s="1138">
        <v>0</v>
      </c>
      <c r="BH132" s="1138">
        <v>0</v>
      </c>
      <c r="BI132" s="1138">
        <v>0</v>
      </c>
      <c r="BJ132" s="1138">
        <v>0</v>
      </c>
      <c r="BK132" s="1138">
        <v>0</v>
      </c>
      <c r="BL132" s="1138">
        <v>0</v>
      </c>
      <c r="BM132" s="1138">
        <v>0</v>
      </c>
      <c r="BN132" s="1138">
        <v>0</v>
      </c>
      <c r="BO132" s="1138">
        <v>0</v>
      </c>
      <c r="BP132" s="1138">
        <v>0</v>
      </c>
      <c r="BQ132" s="1138">
        <v>0</v>
      </c>
      <c r="BR132" s="1138">
        <v>0</v>
      </c>
      <c r="BS132" s="1138">
        <v>0</v>
      </c>
      <c r="BT132" s="1138">
        <v>0</v>
      </c>
      <c r="BU132" s="1138">
        <v>0</v>
      </c>
      <c r="BV132" s="1138">
        <v>0</v>
      </c>
      <c r="BW132" s="1138">
        <v>0</v>
      </c>
      <c r="BX132" s="1138">
        <v>0</v>
      </c>
      <c r="BY132" s="1138">
        <v>0</v>
      </c>
      <c r="BZ132" s="1138">
        <v>0</v>
      </c>
      <c r="CA132" s="1138">
        <v>0</v>
      </c>
      <c r="CB132" s="1138">
        <v>0</v>
      </c>
    </row>
    <row r="133" spans="1:80" x14ac:dyDescent="0.3">
      <c r="A133" s="269">
        <v>373</v>
      </c>
      <c r="B133" s="1002">
        <v>373</v>
      </c>
      <c r="C133" s="269" t="s">
        <v>549</v>
      </c>
      <c r="D133" s="269" t="s">
        <v>450</v>
      </c>
      <c r="E133" s="1138">
        <v>1758394</v>
      </c>
      <c r="F133" s="1138">
        <v>13170271</v>
      </c>
      <c r="G133" s="1138">
        <v>0</v>
      </c>
      <c r="H133" s="1138">
        <v>92125797</v>
      </c>
      <c r="I133" s="1138">
        <v>5900473</v>
      </c>
      <c r="J133" s="1138">
        <v>108014</v>
      </c>
      <c r="K133" s="1138">
        <v>862550</v>
      </c>
      <c r="L133" s="1138">
        <v>1595762</v>
      </c>
      <c r="M133" s="1138">
        <v>96801967</v>
      </c>
      <c r="N133" s="1138">
        <v>89415</v>
      </c>
      <c r="O133" s="1138">
        <v>938281</v>
      </c>
      <c r="P133" s="1138">
        <v>2576293</v>
      </c>
      <c r="Q133" s="1138">
        <v>74979035</v>
      </c>
      <c r="R133" s="1138">
        <v>18518612</v>
      </c>
      <c r="S133" s="1138">
        <v>5068368</v>
      </c>
      <c r="T133" s="1138">
        <v>20436710</v>
      </c>
      <c r="U133" s="1138">
        <v>0</v>
      </c>
      <c r="V133" s="1138">
        <v>26352282</v>
      </c>
      <c r="W133" s="1138">
        <v>9065</v>
      </c>
      <c r="X133" s="1138">
        <v>13485920</v>
      </c>
      <c r="Y133" s="1138">
        <v>23578727</v>
      </c>
      <c r="Z133" s="1138">
        <v>4837427</v>
      </c>
      <c r="AA133" s="1138">
        <v>15431668</v>
      </c>
      <c r="AB133" s="1138">
        <v>4739122</v>
      </c>
      <c r="AC133" s="1138">
        <v>513112</v>
      </c>
      <c r="AD133" s="1138">
        <v>616754</v>
      </c>
      <c r="AE133" s="1138">
        <v>2048939</v>
      </c>
      <c r="AF133" s="1138">
        <v>2774509</v>
      </c>
      <c r="AG133" s="1138">
        <v>141428</v>
      </c>
      <c r="AH133" s="1138">
        <v>73504</v>
      </c>
      <c r="AI133" s="1138">
        <v>758744</v>
      </c>
      <c r="AJ133" s="1138">
        <v>1103183</v>
      </c>
      <c r="AK133" s="1138">
        <v>6565116</v>
      </c>
      <c r="AL133" s="1138">
        <v>962794</v>
      </c>
      <c r="AM133" s="1138">
        <v>16856</v>
      </c>
      <c r="AN133" s="1138">
        <v>26533718</v>
      </c>
      <c r="AO133" s="1138">
        <v>57123429</v>
      </c>
      <c r="AP133" s="1138">
        <v>271075</v>
      </c>
      <c r="AQ133" s="1138">
        <v>4060176</v>
      </c>
      <c r="AR133" s="1138">
        <v>65633734</v>
      </c>
      <c r="AS133" s="1138">
        <v>2615507</v>
      </c>
      <c r="AT133" s="1138">
        <v>1639660</v>
      </c>
      <c r="AU133" s="1138">
        <v>3552049</v>
      </c>
      <c r="AV133" s="1138">
        <v>23569360</v>
      </c>
      <c r="AW133" s="1138">
        <v>58884</v>
      </c>
      <c r="AX133" s="1138">
        <v>259722</v>
      </c>
      <c r="AY133" s="1138">
        <v>5423995</v>
      </c>
      <c r="AZ133" s="1138">
        <v>5629152</v>
      </c>
      <c r="BA133" s="1138">
        <v>6361029</v>
      </c>
      <c r="BB133" s="1138">
        <v>24456</v>
      </c>
      <c r="BC133" s="1138">
        <v>0</v>
      </c>
      <c r="BD133" s="1138">
        <v>0</v>
      </c>
      <c r="BE133" s="1138">
        <v>86253</v>
      </c>
      <c r="BF133" s="1138">
        <v>0</v>
      </c>
      <c r="BG133" s="1138">
        <v>246590</v>
      </c>
      <c r="BH133" s="1138">
        <v>91774</v>
      </c>
      <c r="BI133" s="1138">
        <v>4373162</v>
      </c>
      <c r="BJ133" s="1138">
        <v>3526094</v>
      </c>
      <c r="BK133" s="1138">
        <v>0</v>
      </c>
      <c r="BL133" s="1138">
        <v>9319474</v>
      </c>
      <c r="BM133" s="1138">
        <v>3696411</v>
      </c>
      <c r="BN133" s="1138">
        <v>109737</v>
      </c>
      <c r="BO133" s="1138">
        <v>9632568</v>
      </c>
      <c r="BP133" s="1138">
        <v>5684635</v>
      </c>
      <c r="BQ133" s="1138">
        <v>692447</v>
      </c>
      <c r="BR133" s="1138">
        <v>1812828</v>
      </c>
      <c r="BS133" s="1138">
        <v>271961</v>
      </c>
      <c r="BT133" s="1138">
        <v>116665620</v>
      </c>
      <c r="BU133" s="1138">
        <v>2580764</v>
      </c>
      <c r="BV133" s="1138">
        <v>3760530</v>
      </c>
      <c r="BW133" s="1138">
        <v>691041</v>
      </c>
      <c r="BX133" s="1138">
        <v>879491</v>
      </c>
      <c r="BY133" s="1138">
        <v>34612</v>
      </c>
      <c r="BZ133" s="1138">
        <v>61662</v>
      </c>
      <c r="CA133" s="1138">
        <v>13891151</v>
      </c>
      <c r="CB133" s="1138">
        <v>64903</v>
      </c>
    </row>
    <row r="134" spans="1:80" x14ac:dyDescent="0.3">
      <c r="A134" s="269">
        <v>375</v>
      </c>
      <c r="B134" s="1002">
        <v>375</v>
      </c>
      <c r="C134" s="269" t="s">
        <v>222</v>
      </c>
      <c r="D134" s="269" t="s">
        <v>451</v>
      </c>
      <c r="E134" s="1138">
        <v>0</v>
      </c>
      <c r="F134" s="1138">
        <v>0</v>
      </c>
      <c r="G134" s="1138">
        <v>0</v>
      </c>
      <c r="H134" s="1138">
        <v>35258215</v>
      </c>
      <c r="I134" s="1138">
        <v>9689872</v>
      </c>
      <c r="J134" s="1138">
        <v>-4079</v>
      </c>
      <c r="K134" s="1138">
        <v>5487128</v>
      </c>
      <c r="L134" s="1138">
        <v>212724</v>
      </c>
      <c r="M134" s="1138">
        <v>443255</v>
      </c>
      <c r="N134" s="1138">
        <v>0</v>
      </c>
      <c r="O134" s="1138">
        <v>980348</v>
      </c>
      <c r="P134" s="1138">
        <v>948566</v>
      </c>
      <c r="Q134" s="1138">
        <v>0</v>
      </c>
      <c r="R134" s="1138">
        <v>7653992</v>
      </c>
      <c r="S134" s="1138">
        <v>7253306</v>
      </c>
      <c r="T134" s="1138">
        <v>5937662</v>
      </c>
      <c r="U134" s="1138">
        <v>0</v>
      </c>
      <c r="V134" s="1138">
        <v>0</v>
      </c>
      <c r="W134" s="1138">
        <v>0</v>
      </c>
      <c r="X134" s="1138">
        <v>0</v>
      </c>
      <c r="Y134" s="1138">
        <v>37335</v>
      </c>
      <c r="Z134" s="1138">
        <v>1913728</v>
      </c>
      <c r="AA134" s="1138">
        <v>879723</v>
      </c>
      <c r="AB134" s="1138">
        <v>71234</v>
      </c>
      <c r="AC134" s="1138">
        <v>0</v>
      </c>
      <c r="AD134" s="1138">
        <v>65091</v>
      </c>
      <c r="AE134" s="1138">
        <v>1531462</v>
      </c>
      <c r="AF134" s="1138">
        <v>577421</v>
      </c>
      <c r="AG134" s="1138">
        <v>66583</v>
      </c>
      <c r="AH134" s="1138">
        <v>0</v>
      </c>
      <c r="AI134" s="1138">
        <v>0</v>
      </c>
      <c r="AJ134" s="1138">
        <v>820600</v>
      </c>
      <c r="AK134" s="1138">
        <v>5322048</v>
      </c>
      <c r="AL134" s="1138">
        <v>368396</v>
      </c>
      <c r="AM134" s="1138">
        <v>0</v>
      </c>
      <c r="AN134" s="1138">
        <v>15494601</v>
      </c>
      <c r="AO134" s="1138">
        <v>14407381</v>
      </c>
      <c r="AP134" s="1138">
        <v>80736</v>
      </c>
      <c r="AQ134" s="1138">
        <v>0</v>
      </c>
      <c r="AR134" s="1138">
        <v>8443065</v>
      </c>
      <c r="AS134" s="1138">
        <v>1318373</v>
      </c>
      <c r="AT134" s="1138">
        <v>111512</v>
      </c>
      <c r="AU134" s="1138">
        <v>929604</v>
      </c>
      <c r="AV134" s="1138">
        <v>8170227</v>
      </c>
      <c r="AW134" s="1138">
        <v>1068069</v>
      </c>
      <c r="AX134" s="1138">
        <v>222801</v>
      </c>
      <c r="AY134" s="1138">
        <v>0</v>
      </c>
      <c r="AZ134" s="1138">
        <v>715566</v>
      </c>
      <c r="BA134" s="1138">
        <v>1433023</v>
      </c>
      <c r="BB134" s="1138">
        <v>0</v>
      </c>
      <c r="BC134" s="1138">
        <v>0</v>
      </c>
      <c r="BD134" s="1138">
        <v>0</v>
      </c>
      <c r="BE134" s="1138">
        <v>0</v>
      </c>
      <c r="BF134" s="1138">
        <v>0</v>
      </c>
      <c r="BG134" s="1138">
        <v>-35913</v>
      </c>
      <c r="BH134" s="1138">
        <v>0</v>
      </c>
      <c r="BI134" s="1138">
        <v>2109134</v>
      </c>
      <c r="BJ134" s="1138">
        <v>1838151</v>
      </c>
      <c r="BK134" s="1138">
        <v>0</v>
      </c>
      <c r="BL134" s="1138">
        <v>4994733</v>
      </c>
      <c r="BM134" s="1138">
        <v>1798065</v>
      </c>
      <c r="BN134" s="1138">
        <v>0</v>
      </c>
      <c r="BO134" s="1138">
        <v>2196552</v>
      </c>
      <c r="BP134" s="1138">
        <v>3724622</v>
      </c>
      <c r="BQ134" s="1138">
        <v>833056</v>
      </c>
      <c r="BR134" s="1138">
        <v>2730957</v>
      </c>
      <c r="BS134" s="1138">
        <v>0</v>
      </c>
      <c r="BT134" s="1138">
        <v>0</v>
      </c>
      <c r="BU134" s="1138">
        <v>1214930</v>
      </c>
      <c r="BV134" s="1138">
        <v>-470242</v>
      </c>
      <c r="BW134" s="1138">
        <v>132684</v>
      </c>
      <c r="BX134" s="1138">
        <v>973239</v>
      </c>
      <c r="BY134" s="1138">
        <v>0</v>
      </c>
      <c r="BZ134" s="1138">
        <v>0</v>
      </c>
      <c r="CA134" s="1138">
        <v>7619918</v>
      </c>
      <c r="CB134" s="1138">
        <v>0</v>
      </c>
    </row>
    <row r="135" spans="1:80" x14ac:dyDescent="0.3">
      <c r="A135" s="269">
        <v>376</v>
      </c>
      <c r="B135" s="1002">
        <v>376</v>
      </c>
      <c r="C135" s="269" t="s">
        <v>108</v>
      </c>
      <c r="D135" s="269" t="s">
        <v>452</v>
      </c>
      <c r="E135" s="1138">
        <v>0</v>
      </c>
      <c r="F135" s="1138">
        <v>0</v>
      </c>
      <c r="G135" s="1138">
        <v>0</v>
      </c>
      <c r="H135" s="1138">
        <v>0</v>
      </c>
      <c r="I135" s="1138">
        <v>0</v>
      </c>
      <c r="J135" s="1138">
        <v>0</v>
      </c>
      <c r="K135" s="1138">
        <v>0</v>
      </c>
      <c r="L135" s="1138">
        <v>0</v>
      </c>
      <c r="M135" s="1138">
        <v>0</v>
      </c>
      <c r="N135" s="1138">
        <v>0</v>
      </c>
      <c r="O135" s="1138">
        <v>0</v>
      </c>
      <c r="P135" s="1138">
        <v>0</v>
      </c>
      <c r="Q135" s="1138">
        <v>0</v>
      </c>
      <c r="R135" s="1138">
        <v>0</v>
      </c>
      <c r="S135" s="1138">
        <v>0</v>
      </c>
      <c r="T135" s="1138">
        <v>0</v>
      </c>
      <c r="U135" s="1138">
        <v>0</v>
      </c>
      <c r="V135" s="1138">
        <v>0</v>
      </c>
      <c r="W135" s="1138">
        <v>0</v>
      </c>
      <c r="X135" s="1138">
        <v>0</v>
      </c>
      <c r="Y135" s="1138">
        <v>868237</v>
      </c>
      <c r="Z135" s="1138">
        <v>0</v>
      </c>
      <c r="AA135" s="1138">
        <v>14498</v>
      </c>
      <c r="AB135" s="1138">
        <v>0</v>
      </c>
      <c r="AC135" s="1138">
        <v>0</v>
      </c>
      <c r="AD135" s="1138">
        <v>0</v>
      </c>
      <c r="AE135" s="1138">
        <v>0</v>
      </c>
      <c r="AF135" s="1138">
        <v>0</v>
      </c>
      <c r="AG135" s="1138">
        <v>0</v>
      </c>
      <c r="AH135" s="1138">
        <v>0</v>
      </c>
      <c r="AI135" s="1138">
        <v>0</v>
      </c>
      <c r="AJ135" s="1138">
        <v>0</v>
      </c>
      <c r="AK135" s="1138">
        <v>0</v>
      </c>
      <c r="AL135" s="1138">
        <v>0</v>
      </c>
      <c r="AM135" s="1138">
        <v>0</v>
      </c>
      <c r="AN135" s="1138">
        <v>-241266</v>
      </c>
      <c r="AO135" s="1138">
        <v>0</v>
      </c>
      <c r="AP135" s="1138">
        <v>0</v>
      </c>
      <c r="AQ135" s="1138">
        <v>0</v>
      </c>
      <c r="AR135" s="1138">
        <v>0</v>
      </c>
      <c r="AS135" s="1138">
        <v>0</v>
      </c>
      <c r="AT135" s="1138">
        <v>0</v>
      </c>
      <c r="AU135" s="1138">
        <v>0</v>
      </c>
      <c r="AV135" s="1138">
        <v>-1</v>
      </c>
      <c r="AW135" s="1138">
        <v>0</v>
      </c>
      <c r="AX135" s="1138">
        <v>0</v>
      </c>
      <c r="AY135" s="1138">
        <v>-117540</v>
      </c>
      <c r="AZ135" s="1138">
        <v>1</v>
      </c>
      <c r="BA135" s="1138">
        <v>0</v>
      </c>
      <c r="BB135" s="1138">
        <v>0</v>
      </c>
      <c r="BC135" s="1138">
        <v>0</v>
      </c>
      <c r="BD135" s="1138">
        <v>0</v>
      </c>
      <c r="BE135" s="1138">
        <v>0</v>
      </c>
      <c r="BF135" s="1138">
        <v>0</v>
      </c>
      <c r="BG135" s="1138">
        <v>0</v>
      </c>
      <c r="BH135" s="1138">
        <v>1</v>
      </c>
      <c r="BI135" s="1138">
        <v>0</v>
      </c>
      <c r="BJ135" s="1138">
        <v>0</v>
      </c>
      <c r="BK135" s="1138">
        <v>0</v>
      </c>
      <c r="BL135" s="1138">
        <v>0</v>
      </c>
      <c r="BM135" s="1138">
        <v>0</v>
      </c>
      <c r="BN135" s="1138">
        <v>0</v>
      </c>
      <c r="BO135" s="1138">
        <v>0</v>
      </c>
      <c r="BP135" s="1138">
        <v>0</v>
      </c>
      <c r="BQ135" s="1138">
        <v>0</v>
      </c>
      <c r="BR135" s="1138">
        <v>-1</v>
      </c>
      <c r="BS135" s="1138">
        <v>0</v>
      </c>
      <c r="BT135" s="1138">
        <v>0</v>
      </c>
      <c r="BU135" s="1138">
        <v>0</v>
      </c>
      <c r="BV135" s="1138">
        <v>0</v>
      </c>
      <c r="BW135" s="1138">
        <v>0</v>
      </c>
      <c r="BX135" s="1138">
        <v>0</v>
      </c>
      <c r="BY135" s="1138">
        <v>0</v>
      </c>
      <c r="BZ135" s="1138">
        <v>0</v>
      </c>
      <c r="CA135" s="1138">
        <v>0</v>
      </c>
      <c r="CB135" s="1138">
        <v>1</v>
      </c>
    </row>
    <row r="136" spans="1:80" x14ac:dyDescent="0.3">
      <c r="A136" s="269">
        <v>377</v>
      </c>
      <c r="B136" s="1002">
        <v>377</v>
      </c>
      <c r="C136" s="269" t="s">
        <v>109</v>
      </c>
      <c r="D136" s="269" t="s">
        <v>453</v>
      </c>
      <c r="E136" s="1138">
        <v>0</v>
      </c>
      <c r="F136" s="1138">
        <v>0</v>
      </c>
      <c r="G136" s="1138">
        <v>0</v>
      </c>
      <c r="H136" s="1138">
        <v>0</v>
      </c>
      <c r="I136" s="1138">
        <v>0</v>
      </c>
      <c r="J136" s="1138">
        <v>0</v>
      </c>
      <c r="K136" s="1138">
        <v>0</v>
      </c>
      <c r="L136" s="1138">
        <v>0</v>
      </c>
      <c r="M136" s="1138">
        <v>0</v>
      </c>
      <c r="N136" s="1138">
        <v>0</v>
      </c>
      <c r="O136" s="1138">
        <v>0</v>
      </c>
      <c r="P136" s="1138">
        <v>0</v>
      </c>
      <c r="Q136" s="1138">
        <v>0</v>
      </c>
      <c r="R136" s="1138">
        <v>0</v>
      </c>
      <c r="S136" s="1138">
        <v>0</v>
      </c>
      <c r="T136" s="1138">
        <v>0</v>
      </c>
      <c r="U136" s="1138">
        <v>0</v>
      </c>
      <c r="V136" s="1138">
        <v>0</v>
      </c>
      <c r="W136" s="1138">
        <v>0</v>
      </c>
      <c r="X136" s="1138">
        <v>0</v>
      </c>
      <c r="Y136" s="1138">
        <v>0</v>
      </c>
      <c r="Z136" s="1138">
        <v>0</v>
      </c>
      <c r="AA136" s="1138">
        <v>0</v>
      </c>
      <c r="AB136" s="1138">
        <v>0</v>
      </c>
      <c r="AC136" s="1138">
        <v>0</v>
      </c>
      <c r="AD136" s="1138">
        <v>0</v>
      </c>
      <c r="AE136" s="1138">
        <v>0</v>
      </c>
      <c r="AF136" s="1138">
        <v>0</v>
      </c>
      <c r="AG136" s="1138">
        <v>0</v>
      </c>
      <c r="AH136" s="1138">
        <v>0</v>
      </c>
      <c r="AI136" s="1138">
        <v>0</v>
      </c>
      <c r="AJ136" s="1138">
        <v>0</v>
      </c>
      <c r="AK136" s="1138">
        <v>0</v>
      </c>
      <c r="AL136" s="1138">
        <v>0</v>
      </c>
      <c r="AM136" s="1138">
        <v>0</v>
      </c>
      <c r="AN136" s="1138">
        <v>-101104</v>
      </c>
      <c r="AO136" s="1138">
        <v>0</v>
      </c>
      <c r="AP136" s="1138">
        <v>0</v>
      </c>
      <c r="AQ136" s="1138">
        <v>0</v>
      </c>
      <c r="AR136" s="1138">
        <v>0</v>
      </c>
      <c r="AS136" s="1138">
        <v>0</v>
      </c>
      <c r="AT136" s="1138">
        <v>0</v>
      </c>
      <c r="AU136" s="1138">
        <v>0</v>
      </c>
      <c r="AV136" s="1138">
        <v>0</v>
      </c>
      <c r="AW136" s="1138">
        <v>0</v>
      </c>
      <c r="AX136" s="1138">
        <v>0</v>
      </c>
      <c r="AY136" s="1138">
        <v>-16463</v>
      </c>
      <c r="AZ136" s="1138">
        <v>0</v>
      </c>
      <c r="BA136" s="1138">
        <v>0</v>
      </c>
      <c r="BB136" s="1138">
        <v>0</v>
      </c>
      <c r="BC136" s="1138">
        <v>0</v>
      </c>
      <c r="BD136" s="1138">
        <v>0</v>
      </c>
      <c r="BE136" s="1138">
        <v>0</v>
      </c>
      <c r="BF136" s="1138">
        <v>0</v>
      </c>
      <c r="BG136" s="1138">
        <v>0</v>
      </c>
      <c r="BH136" s="1138">
        <v>0</v>
      </c>
      <c r="BI136" s="1138">
        <v>0</v>
      </c>
      <c r="BJ136" s="1138">
        <v>0</v>
      </c>
      <c r="BK136" s="1138">
        <v>0</v>
      </c>
      <c r="BL136" s="1138">
        <v>0</v>
      </c>
      <c r="BM136" s="1138">
        <v>0</v>
      </c>
      <c r="BN136" s="1138">
        <v>0</v>
      </c>
      <c r="BO136" s="1138">
        <v>0</v>
      </c>
      <c r="BP136" s="1138">
        <v>0</v>
      </c>
      <c r="BQ136" s="1138">
        <v>0</v>
      </c>
      <c r="BR136" s="1138">
        <v>1</v>
      </c>
      <c r="BS136" s="1138">
        <v>0</v>
      </c>
      <c r="BT136" s="1138">
        <v>0</v>
      </c>
      <c r="BU136" s="1138">
        <v>0</v>
      </c>
      <c r="BV136" s="1138">
        <v>0</v>
      </c>
      <c r="BW136" s="1138">
        <v>1</v>
      </c>
      <c r="BX136" s="1138">
        <v>0</v>
      </c>
      <c r="BY136" s="1138">
        <v>0</v>
      </c>
      <c r="BZ136" s="1138">
        <v>0</v>
      </c>
      <c r="CA136" s="1138">
        <v>0</v>
      </c>
      <c r="CB136" s="1138">
        <v>0</v>
      </c>
    </row>
    <row r="137" spans="1:80" x14ac:dyDescent="0.3">
      <c r="A137" s="269">
        <v>378</v>
      </c>
      <c r="B137" s="1002">
        <v>378</v>
      </c>
      <c r="C137" s="269" t="s">
        <v>110</v>
      </c>
      <c r="D137" s="269" t="s">
        <v>454</v>
      </c>
      <c r="E137" s="1138">
        <v>0</v>
      </c>
      <c r="F137" s="1138">
        <v>0</v>
      </c>
      <c r="G137" s="1138">
        <v>0</v>
      </c>
      <c r="H137" s="1138">
        <v>0</v>
      </c>
      <c r="I137" s="1138">
        <v>0</v>
      </c>
      <c r="J137" s="1138">
        <v>0</v>
      </c>
      <c r="K137" s="1138">
        <v>0</v>
      </c>
      <c r="L137" s="1138">
        <v>0</v>
      </c>
      <c r="M137" s="1138">
        <v>0</v>
      </c>
      <c r="N137" s="1138">
        <v>0</v>
      </c>
      <c r="O137" s="1138">
        <v>0</v>
      </c>
      <c r="P137" s="1138">
        <v>0</v>
      </c>
      <c r="Q137" s="1138">
        <v>0</v>
      </c>
      <c r="R137" s="1138">
        <v>0</v>
      </c>
      <c r="S137" s="1138">
        <v>0</v>
      </c>
      <c r="T137" s="1138">
        <v>0</v>
      </c>
      <c r="U137" s="1138">
        <v>0</v>
      </c>
      <c r="V137" s="1138">
        <v>-39384</v>
      </c>
      <c r="W137" s="1138">
        <v>0</v>
      </c>
      <c r="X137" s="1138">
        <v>0</v>
      </c>
      <c r="Y137" s="1138">
        <v>0</v>
      </c>
      <c r="Z137" s="1138">
        <v>0</v>
      </c>
      <c r="AA137" s="1138">
        <v>0</v>
      </c>
      <c r="AB137" s="1138">
        <v>0</v>
      </c>
      <c r="AC137" s="1138">
        <v>0</v>
      </c>
      <c r="AD137" s="1138">
        <v>0</v>
      </c>
      <c r="AE137" s="1138">
        <v>0</v>
      </c>
      <c r="AF137" s="1138">
        <v>0</v>
      </c>
      <c r="AG137" s="1138">
        <v>0</v>
      </c>
      <c r="AH137" s="1138">
        <v>0</v>
      </c>
      <c r="AI137" s="1138">
        <v>0</v>
      </c>
      <c r="AJ137" s="1138">
        <v>0</v>
      </c>
      <c r="AK137" s="1138">
        <v>0</v>
      </c>
      <c r="AL137" s="1138">
        <v>0</v>
      </c>
      <c r="AM137" s="1138">
        <v>0</v>
      </c>
      <c r="AN137" s="1138">
        <v>0</v>
      </c>
      <c r="AO137" s="1138">
        <v>0</v>
      </c>
      <c r="AP137" s="1138">
        <v>0</v>
      </c>
      <c r="AQ137" s="1138">
        <v>0</v>
      </c>
      <c r="AR137" s="1138">
        <v>0</v>
      </c>
      <c r="AS137" s="1138">
        <v>0</v>
      </c>
      <c r="AT137" s="1138">
        <v>0</v>
      </c>
      <c r="AU137" s="1138">
        <v>0</v>
      </c>
      <c r="AV137" s="1138">
        <v>0</v>
      </c>
      <c r="AW137" s="1138">
        <v>0</v>
      </c>
      <c r="AX137" s="1138">
        <v>0</v>
      </c>
      <c r="AY137" s="1138">
        <v>0</v>
      </c>
      <c r="AZ137" s="1138">
        <v>0</v>
      </c>
      <c r="BA137" s="1138">
        <v>0</v>
      </c>
      <c r="BB137" s="1138">
        <v>0</v>
      </c>
      <c r="BC137" s="1138">
        <v>0</v>
      </c>
      <c r="BD137" s="1138">
        <v>0</v>
      </c>
      <c r="BE137" s="1138">
        <v>0</v>
      </c>
      <c r="BF137" s="1138">
        <v>0</v>
      </c>
      <c r="BG137" s="1138">
        <v>0</v>
      </c>
      <c r="BH137" s="1138">
        <v>0</v>
      </c>
      <c r="BI137" s="1138">
        <v>0</v>
      </c>
      <c r="BJ137" s="1138">
        <v>0</v>
      </c>
      <c r="BK137" s="1138">
        <v>0</v>
      </c>
      <c r="BL137" s="1138">
        <v>0</v>
      </c>
      <c r="BM137" s="1138">
        <v>0</v>
      </c>
      <c r="BN137" s="1138">
        <v>0</v>
      </c>
      <c r="BO137" s="1138">
        <v>0</v>
      </c>
      <c r="BP137" s="1138">
        <v>0</v>
      </c>
      <c r="BQ137" s="1138">
        <v>0</v>
      </c>
      <c r="BR137" s="1138">
        <v>0</v>
      </c>
      <c r="BS137" s="1138">
        <v>0</v>
      </c>
      <c r="BT137" s="1138">
        <v>0</v>
      </c>
      <c r="BU137" s="1138">
        <v>0</v>
      </c>
      <c r="BV137" s="1138">
        <v>0</v>
      </c>
      <c r="BW137" s="1138">
        <v>0</v>
      </c>
      <c r="BX137" s="1138">
        <v>0</v>
      </c>
      <c r="BY137" s="1138">
        <v>0</v>
      </c>
      <c r="BZ137" s="1138">
        <v>0</v>
      </c>
      <c r="CA137" s="1138">
        <v>0</v>
      </c>
      <c r="CB137" s="1138">
        <v>0</v>
      </c>
    </row>
    <row r="138" spans="1:80" x14ac:dyDescent="0.3">
      <c r="A138" s="269">
        <v>379</v>
      </c>
      <c r="B138" s="1002">
        <v>379</v>
      </c>
      <c r="C138" s="269" t="s">
        <v>118</v>
      </c>
      <c r="D138" s="269" t="s">
        <v>455</v>
      </c>
      <c r="E138" s="1138">
        <v>475410</v>
      </c>
      <c r="F138" s="1138">
        <v>22088795</v>
      </c>
      <c r="G138" s="1138">
        <v>0</v>
      </c>
      <c r="H138" s="1138">
        <v>38064351</v>
      </c>
      <c r="I138" s="1138">
        <v>4779642</v>
      </c>
      <c r="J138" s="1138">
        <v>593782</v>
      </c>
      <c r="K138" s="1138">
        <v>2831858</v>
      </c>
      <c r="L138" s="1138">
        <v>1506847</v>
      </c>
      <c r="M138" s="1138">
        <v>26099754</v>
      </c>
      <c r="N138" s="1138">
        <v>249356</v>
      </c>
      <c r="O138" s="1138">
        <v>749307</v>
      </c>
      <c r="P138" s="1138">
        <v>726033</v>
      </c>
      <c r="Q138" s="1138">
        <v>18572533</v>
      </c>
      <c r="R138" s="1138">
        <v>19587703</v>
      </c>
      <c r="S138" s="1138">
        <v>3381693</v>
      </c>
      <c r="T138" s="1138">
        <v>9461944</v>
      </c>
      <c r="U138" s="1138">
        <v>0</v>
      </c>
      <c r="V138" s="1138">
        <v>8915453</v>
      </c>
      <c r="W138" s="1138">
        <v>273950</v>
      </c>
      <c r="X138" s="1138">
        <v>12336655</v>
      </c>
      <c r="Y138" s="1138">
        <v>9237090</v>
      </c>
      <c r="Z138" s="1138">
        <v>4842117</v>
      </c>
      <c r="AA138" s="1138">
        <v>2180694</v>
      </c>
      <c r="AB138" s="1138">
        <v>3872003</v>
      </c>
      <c r="AC138" s="1138">
        <v>1268540</v>
      </c>
      <c r="AD138" s="1138">
        <v>303404</v>
      </c>
      <c r="AE138" s="1138">
        <v>1434187</v>
      </c>
      <c r="AF138" s="1138">
        <v>1893129</v>
      </c>
      <c r="AG138" s="1138">
        <v>160616</v>
      </c>
      <c r="AH138" s="1138">
        <v>88514</v>
      </c>
      <c r="AI138" s="1138">
        <v>307010</v>
      </c>
      <c r="AJ138" s="1138">
        <v>1898265</v>
      </c>
      <c r="AK138" s="1138">
        <v>3599903</v>
      </c>
      <c r="AL138" s="1138">
        <v>269420</v>
      </c>
      <c r="AM138" s="1138">
        <v>116052</v>
      </c>
      <c r="AN138" s="1138">
        <v>15107704</v>
      </c>
      <c r="AO138" s="1138">
        <v>12070346</v>
      </c>
      <c r="AP138" s="1138">
        <v>611461</v>
      </c>
      <c r="AQ138" s="1138">
        <v>7813796</v>
      </c>
      <c r="AR138" s="1138">
        <v>13833614</v>
      </c>
      <c r="AS138" s="1138">
        <v>3025386</v>
      </c>
      <c r="AT138" s="1138">
        <v>454793</v>
      </c>
      <c r="AU138" s="1138">
        <v>3170427</v>
      </c>
      <c r="AV138" s="1138">
        <v>6707017</v>
      </c>
      <c r="AW138" s="1138">
        <v>159013</v>
      </c>
      <c r="AX138" s="1138">
        <v>434467</v>
      </c>
      <c r="AY138" s="1138">
        <v>3578766</v>
      </c>
      <c r="AZ138" s="1138">
        <v>2837794</v>
      </c>
      <c r="BA138" s="1138">
        <v>2628049</v>
      </c>
      <c r="BB138" s="1138">
        <v>101926</v>
      </c>
      <c r="BC138" s="1138">
        <v>0</v>
      </c>
      <c r="BD138" s="1138">
        <v>0</v>
      </c>
      <c r="BE138" s="1138">
        <v>388894</v>
      </c>
      <c r="BF138" s="1138">
        <v>0</v>
      </c>
      <c r="BG138" s="1138">
        <v>546144</v>
      </c>
      <c r="BH138" s="1138">
        <v>162468</v>
      </c>
      <c r="BI138" s="1138">
        <v>2838478</v>
      </c>
      <c r="BJ138" s="1138">
        <v>3375737</v>
      </c>
      <c r="BK138" s="1138">
        <v>0</v>
      </c>
      <c r="BL138" s="1138">
        <v>2993019</v>
      </c>
      <c r="BM138" s="1138">
        <v>6060652</v>
      </c>
      <c r="BN138" s="1138">
        <v>131566</v>
      </c>
      <c r="BO138" s="1138">
        <v>4270673</v>
      </c>
      <c r="BP138" s="1138">
        <v>3339930</v>
      </c>
      <c r="BQ138" s="1138">
        <v>1711352</v>
      </c>
      <c r="BR138" s="1138">
        <v>1581816</v>
      </c>
      <c r="BS138" s="1138">
        <v>1682716</v>
      </c>
      <c r="BT138" s="1138">
        <v>13364839</v>
      </c>
      <c r="BU138" s="1138">
        <v>2950863</v>
      </c>
      <c r="BV138" s="1138">
        <v>1840948</v>
      </c>
      <c r="BW138" s="1138">
        <v>1090685</v>
      </c>
      <c r="BX138" s="1138">
        <v>1295166</v>
      </c>
      <c r="BY138" s="1138">
        <v>177930</v>
      </c>
      <c r="BZ138" s="1138">
        <v>210037</v>
      </c>
      <c r="CA138" s="1138">
        <v>14948965</v>
      </c>
      <c r="CB138" s="1138">
        <v>185910</v>
      </c>
    </row>
    <row r="139" spans="1:80" x14ac:dyDescent="0.3">
      <c r="A139" s="269">
        <v>380</v>
      </c>
      <c r="B139" s="1002">
        <v>380</v>
      </c>
      <c r="C139" s="269" t="s">
        <v>121</v>
      </c>
      <c r="D139" s="269" t="s">
        <v>456</v>
      </c>
      <c r="E139" s="1138">
        <v>7349</v>
      </c>
      <c r="F139" s="1138">
        <v>77116</v>
      </c>
      <c r="G139" s="1138">
        <v>0</v>
      </c>
      <c r="H139" s="1138">
        <v>271685</v>
      </c>
      <c r="I139" s="1138">
        <v>15194</v>
      </c>
      <c r="J139" s="1138">
        <v>25640</v>
      </c>
      <c r="K139" s="1138">
        <v>74905</v>
      </c>
      <c r="L139" s="1138">
        <v>48145</v>
      </c>
      <c r="M139" s="1138">
        <v>687287</v>
      </c>
      <c r="N139" s="1138">
        <v>3322</v>
      </c>
      <c r="O139" s="1138">
        <v>51273</v>
      </c>
      <c r="P139" s="1138">
        <v>11078</v>
      </c>
      <c r="Q139" s="1138">
        <v>227256</v>
      </c>
      <c r="R139" s="1138">
        <v>93080</v>
      </c>
      <c r="S139" s="1138">
        <v>83022</v>
      </c>
      <c r="T139" s="1138">
        <v>62575</v>
      </c>
      <c r="U139" s="1138">
        <v>0</v>
      </c>
      <c r="V139" s="1138">
        <v>611898</v>
      </c>
      <c r="W139" s="1138">
        <v>1010</v>
      </c>
      <c r="X139" s="1138">
        <v>58383</v>
      </c>
      <c r="Y139" s="1138">
        <v>138109</v>
      </c>
      <c r="Z139" s="1138">
        <v>20188</v>
      </c>
      <c r="AA139" s="1138">
        <v>72919</v>
      </c>
      <c r="AB139" s="1138">
        <v>122777</v>
      </c>
      <c r="AC139" s="1138">
        <v>6167</v>
      </c>
      <c r="AD139" s="1138">
        <v>0</v>
      </c>
      <c r="AE139" s="1138">
        <v>5436</v>
      </c>
      <c r="AF139" s="1138">
        <v>97004</v>
      </c>
      <c r="AG139" s="1138">
        <v>4429</v>
      </c>
      <c r="AH139" s="1138">
        <v>1715</v>
      </c>
      <c r="AI139" s="1138">
        <v>1157</v>
      </c>
      <c r="AJ139" s="1138">
        <v>13247</v>
      </c>
      <c r="AK139" s="1138">
        <v>566828</v>
      </c>
      <c r="AL139" s="1138">
        <v>2816</v>
      </c>
      <c r="AM139" s="1138">
        <v>781</v>
      </c>
      <c r="AN139" s="1138">
        <v>70732</v>
      </c>
      <c r="AO139" s="1138">
        <v>236526</v>
      </c>
      <c r="AP139" s="1138">
        <v>10907</v>
      </c>
      <c r="AQ139" s="1138">
        <v>29337</v>
      </c>
      <c r="AR139" s="1138">
        <v>538333</v>
      </c>
      <c r="AS139" s="1138">
        <v>28019</v>
      </c>
      <c r="AT139" s="1138">
        <v>17762</v>
      </c>
      <c r="AU139" s="1138">
        <v>9047</v>
      </c>
      <c r="AV139" s="1138">
        <v>114021</v>
      </c>
      <c r="AW139" s="1138">
        <v>866</v>
      </c>
      <c r="AX139" s="1138">
        <v>35999</v>
      </c>
      <c r="AY139" s="1138">
        <v>42435</v>
      </c>
      <c r="AZ139" s="1138">
        <v>63778</v>
      </c>
      <c r="BA139" s="1138">
        <v>36498</v>
      </c>
      <c r="BB139" s="1138">
        <v>9464</v>
      </c>
      <c r="BC139" s="1138">
        <v>0</v>
      </c>
      <c r="BD139" s="1138">
        <v>0</v>
      </c>
      <c r="BE139" s="1138">
        <v>4976</v>
      </c>
      <c r="BF139" s="1138">
        <v>0</v>
      </c>
      <c r="BG139" s="1138">
        <v>36314</v>
      </c>
      <c r="BH139" s="1138">
        <v>881</v>
      </c>
      <c r="BI139" s="1138">
        <v>43337</v>
      </c>
      <c r="BJ139" s="1138">
        <v>78889</v>
      </c>
      <c r="BK139" s="1138">
        <v>0</v>
      </c>
      <c r="BL139" s="1138">
        <v>16913</v>
      </c>
      <c r="BM139" s="1138">
        <v>28582</v>
      </c>
      <c r="BN139" s="1138">
        <v>0</v>
      </c>
      <c r="BO139" s="1138">
        <v>101290</v>
      </c>
      <c r="BP139" s="1138">
        <v>31676</v>
      </c>
      <c r="BQ139" s="1138">
        <v>25341</v>
      </c>
      <c r="BR139" s="1138">
        <v>56801</v>
      </c>
      <c r="BS139" s="1138">
        <v>1670</v>
      </c>
      <c r="BT139" s="1138">
        <v>270471</v>
      </c>
      <c r="BU139" s="1138">
        <v>480576</v>
      </c>
      <c r="BV139" s="1138">
        <v>30659</v>
      </c>
      <c r="BW139" s="1138">
        <v>24650</v>
      </c>
      <c r="BX139" s="1138">
        <v>5223</v>
      </c>
      <c r="BY139" s="1138">
        <v>441</v>
      </c>
      <c r="BZ139" s="1138">
        <v>685</v>
      </c>
      <c r="CA139" s="1138">
        <v>100614</v>
      </c>
      <c r="CB139" s="1138">
        <v>21074</v>
      </c>
    </row>
    <row r="140" spans="1:80" x14ac:dyDescent="0.3">
      <c r="A140" s="269">
        <v>381</v>
      </c>
      <c r="B140" s="1002">
        <v>381</v>
      </c>
      <c r="C140" s="269" t="s">
        <v>113</v>
      </c>
      <c r="D140" s="269" t="s">
        <v>457</v>
      </c>
      <c r="E140" s="1138">
        <v>0</v>
      </c>
      <c r="F140" s="1138">
        <v>0</v>
      </c>
      <c r="G140" s="1138">
        <v>0</v>
      </c>
      <c r="H140" s="1138">
        <v>137575743</v>
      </c>
      <c r="I140" s="1138">
        <v>24544350</v>
      </c>
      <c r="J140" s="1138">
        <v>635415</v>
      </c>
      <c r="K140" s="1138">
        <v>11084392</v>
      </c>
      <c r="L140" s="1138">
        <v>6737551</v>
      </c>
      <c r="M140" s="1138">
        <v>131037411</v>
      </c>
      <c r="N140" s="1138">
        <v>0</v>
      </c>
      <c r="O140" s="1138">
        <v>3914694</v>
      </c>
      <c r="P140" s="1138">
        <v>5500035</v>
      </c>
      <c r="Q140" s="1138">
        <v>0</v>
      </c>
      <c r="R140" s="1138">
        <v>23223019</v>
      </c>
      <c r="S140" s="1138">
        <v>36542496</v>
      </c>
      <c r="T140" s="1138">
        <v>63514882</v>
      </c>
      <c r="U140" s="1138">
        <v>0</v>
      </c>
      <c r="V140" s="1138">
        <v>86395919</v>
      </c>
      <c r="W140" s="1138">
        <v>0</v>
      </c>
      <c r="X140" s="1138">
        <v>0</v>
      </c>
      <c r="Y140" s="1138">
        <v>516257</v>
      </c>
      <c r="Z140" s="1138">
        <v>9217029</v>
      </c>
      <c r="AA140" s="1138">
        <v>8768007</v>
      </c>
      <c r="AB140" s="1138">
        <v>7373988</v>
      </c>
      <c r="AC140" s="1138">
        <v>0</v>
      </c>
      <c r="AD140" s="1138">
        <v>163877</v>
      </c>
      <c r="AE140" s="1138">
        <v>10018697</v>
      </c>
      <c r="AF140" s="1138">
        <v>12895067</v>
      </c>
      <c r="AG140" s="1138">
        <v>719872</v>
      </c>
      <c r="AH140" s="1138">
        <v>0</v>
      </c>
      <c r="AI140" s="1138">
        <v>0</v>
      </c>
      <c r="AJ140" s="1138">
        <v>2600011</v>
      </c>
      <c r="AK140" s="1138">
        <v>41817420</v>
      </c>
      <c r="AL140" s="1138">
        <v>1922895</v>
      </c>
      <c r="AM140" s="1138">
        <v>0</v>
      </c>
      <c r="AN140" s="1138">
        <v>56515577</v>
      </c>
      <c r="AO140" s="1138">
        <v>76882591</v>
      </c>
      <c r="AP140" s="1138">
        <v>375755</v>
      </c>
      <c r="AQ140" s="1138">
        <v>0</v>
      </c>
      <c r="AR140" s="1138">
        <v>48554834</v>
      </c>
      <c r="AS140" s="1138">
        <v>5839408</v>
      </c>
      <c r="AT140" s="1138">
        <v>4815372</v>
      </c>
      <c r="AU140" s="1138">
        <v>5788753</v>
      </c>
      <c r="AV140" s="1138">
        <v>38940624</v>
      </c>
      <c r="AW140" s="1138">
        <v>1804535</v>
      </c>
      <c r="AX140" s="1138">
        <v>5071026</v>
      </c>
      <c r="AY140" s="1138">
        <v>11118019</v>
      </c>
      <c r="AZ140" s="1138">
        <v>9493166</v>
      </c>
      <c r="BA140" s="1138">
        <v>17339713</v>
      </c>
      <c r="BB140" s="1138">
        <v>0</v>
      </c>
      <c r="BC140" s="1138">
        <v>0</v>
      </c>
      <c r="BD140" s="1138">
        <v>0</v>
      </c>
      <c r="BE140" s="1138">
        <v>0</v>
      </c>
      <c r="BF140" s="1138">
        <v>0</v>
      </c>
      <c r="BG140" s="1138">
        <v>2808212</v>
      </c>
      <c r="BH140" s="1138">
        <v>0</v>
      </c>
      <c r="BI140" s="1138">
        <v>7821917</v>
      </c>
      <c r="BJ140" s="1138">
        <v>7656845</v>
      </c>
      <c r="BK140" s="1138">
        <v>0</v>
      </c>
      <c r="BL140" s="1138">
        <v>13838658</v>
      </c>
      <c r="BM140" s="1138">
        <v>8236522</v>
      </c>
      <c r="BN140" s="1138">
        <v>0</v>
      </c>
      <c r="BO140" s="1138">
        <v>22046202</v>
      </c>
      <c r="BP140" s="1138">
        <v>12551134</v>
      </c>
      <c r="BQ140" s="1138">
        <v>9090414</v>
      </c>
      <c r="BR140" s="1138">
        <v>8226367</v>
      </c>
      <c r="BS140" s="1138">
        <v>0</v>
      </c>
      <c r="BT140" s="1138">
        <v>0</v>
      </c>
      <c r="BU140" s="1138">
        <v>7228605</v>
      </c>
      <c r="BV140" s="1138">
        <v>18148576</v>
      </c>
      <c r="BW140" s="1138">
        <v>4217993</v>
      </c>
      <c r="BX140" s="1138">
        <v>4111516</v>
      </c>
      <c r="BY140" s="1138">
        <v>0</v>
      </c>
      <c r="BZ140" s="1138">
        <v>0</v>
      </c>
      <c r="CA140" s="1138">
        <v>57784499</v>
      </c>
      <c r="CB140" s="1138">
        <v>0</v>
      </c>
    </row>
    <row r="141" spans="1:80" x14ac:dyDescent="0.3">
      <c r="A141" s="269">
        <v>382</v>
      </c>
      <c r="B141" s="1002">
        <v>382</v>
      </c>
      <c r="C141" s="269" t="s">
        <v>114</v>
      </c>
      <c r="D141" s="269" t="s">
        <v>458</v>
      </c>
      <c r="E141" s="1138">
        <v>0</v>
      </c>
      <c r="F141" s="1138">
        <v>0</v>
      </c>
      <c r="G141" s="1138">
        <v>0</v>
      </c>
      <c r="H141" s="1138">
        <v>0</v>
      </c>
      <c r="I141" s="1138">
        <v>0</v>
      </c>
      <c r="J141" s="1138">
        <v>0</v>
      </c>
      <c r="K141" s="1138">
        <v>0</v>
      </c>
      <c r="L141" s="1138">
        <v>0</v>
      </c>
      <c r="M141" s="1138">
        <v>0</v>
      </c>
      <c r="N141" s="1138">
        <v>0</v>
      </c>
      <c r="O141" s="1138">
        <v>0</v>
      </c>
      <c r="P141" s="1138">
        <v>0</v>
      </c>
      <c r="Q141" s="1138">
        <v>0</v>
      </c>
      <c r="R141" s="1138">
        <v>0</v>
      </c>
      <c r="S141" s="1138">
        <v>0</v>
      </c>
      <c r="T141" s="1138">
        <v>11951436</v>
      </c>
      <c r="U141" s="1138">
        <v>0</v>
      </c>
      <c r="V141" s="1138">
        <v>57726374</v>
      </c>
      <c r="W141" s="1138">
        <v>0</v>
      </c>
      <c r="X141" s="1138">
        <v>0</v>
      </c>
      <c r="Y141" s="1138">
        <v>0</v>
      </c>
      <c r="Z141" s="1138">
        <v>0</v>
      </c>
      <c r="AA141" s="1138">
        <v>2484058</v>
      </c>
      <c r="AB141" s="1138">
        <v>2051211</v>
      </c>
      <c r="AC141" s="1138">
        <v>0</v>
      </c>
      <c r="AD141" s="1138">
        <v>0</v>
      </c>
      <c r="AE141" s="1138">
        <v>0</v>
      </c>
      <c r="AF141" s="1138">
        <v>4050181</v>
      </c>
      <c r="AG141" s="1138">
        <v>0</v>
      </c>
      <c r="AH141" s="1138">
        <v>0</v>
      </c>
      <c r="AI141" s="1138">
        <v>0</v>
      </c>
      <c r="AJ141" s="1138">
        <v>0</v>
      </c>
      <c r="AK141" s="1138">
        <v>13257565</v>
      </c>
      <c r="AL141" s="1138">
        <v>0</v>
      </c>
      <c r="AM141" s="1138">
        <v>0</v>
      </c>
      <c r="AN141" s="1138">
        <v>0</v>
      </c>
      <c r="AO141" s="1138">
        <v>0</v>
      </c>
      <c r="AP141" s="1138">
        <v>0</v>
      </c>
      <c r="AQ141" s="1138">
        <v>0</v>
      </c>
      <c r="AR141" s="1138">
        <v>59995607</v>
      </c>
      <c r="AS141" s="1138">
        <v>0</v>
      </c>
      <c r="AT141" s="1138">
        <v>0</v>
      </c>
      <c r="AU141" s="1138">
        <v>0</v>
      </c>
      <c r="AV141" s="1138">
        <v>7411590</v>
      </c>
      <c r="AW141" s="1138">
        <v>0</v>
      </c>
      <c r="AX141" s="1138">
        <v>0</v>
      </c>
      <c r="AY141" s="1138">
        <v>0</v>
      </c>
      <c r="AZ141" s="1138">
        <v>0</v>
      </c>
      <c r="BA141" s="1138">
        <v>6953638</v>
      </c>
      <c r="BB141" s="1138">
        <v>0</v>
      </c>
      <c r="BC141" s="1138">
        <v>0</v>
      </c>
      <c r="BD141" s="1138">
        <v>0</v>
      </c>
      <c r="BE141" s="1138">
        <v>0</v>
      </c>
      <c r="BF141" s="1138">
        <v>0</v>
      </c>
      <c r="BG141" s="1138">
        <v>494353</v>
      </c>
      <c r="BH141" s="1138">
        <v>0</v>
      </c>
      <c r="BI141" s="1138">
        <v>0</v>
      </c>
      <c r="BJ141" s="1138">
        <v>0</v>
      </c>
      <c r="BK141" s="1138">
        <v>0</v>
      </c>
      <c r="BL141" s="1138">
        <v>4919131</v>
      </c>
      <c r="BM141" s="1138">
        <v>0</v>
      </c>
      <c r="BN141" s="1138">
        <v>0</v>
      </c>
      <c r="BO141" s="1138">
        <v>0</v>
      </c>
      <c r="BP141" s="1138">
        <v>0</v>
      </c>
      <c r="BQ141" s="1138">
        <v>0</v>
      </c>
      <c r="BR141" s="1138">
        <v>0</v>
      </c>
      <c r="BS141" s="1138">
        <v>0</v>
      </c>
      <c r="BT141" s="1138">
        <v>0</v>
      </c>
      <c r="BU141" s="1138">
        <v>0</v>
      </c>
      <c r="BV141" s="1138">
        <v>0</v>
      </c>
      <c r="BW141" s="1138">
        <v>0</v>
      </c>
      <c r="BX141" s="1138">
        <v>0</v>
      </c>
      <c r="BY141" s="1138">
        <v>0</v>
      </c>
      <c r="BZ141" s="1138">
        <v>0</v>
      </c>
      <c r="CA141" s="1138">
        <v>0</v>
      </c>
      <c r="CB141" s="1138">
        <v>0</v>
      </c>
    </row>
    <row r="142" spans="1:80" x14ac:dyDescent="0.3">
      <c r="A142" s="269">
        <v>383</v>
      </c>
      <c r="B142" s="1002">
        <v>383</v>
      </c>
      <c r="C142" s="269" t="s">
        <v>221</v>
      </c>
      <c r="D142" s="269" t="s">
        <v>459</v>
      </c>
      <c r="E142" s="1138">
        <v>0</v>
      </c>
      <c r="F142" s="1138">
        <v>0</v>
      </c>
      <c r="G142" s="1138">
        <v>0</v>
      </c>
      <c r="H142" s="1138">
        <v>0</v>
      </c>
      <c r="I142" s="1138">
        <v>0</v>
      </c>
      <c r="J142" s="1138">
        <v>0</v>
      </c>
      <c r="K142" s="1138">
        <v>0</v>
      </c>
      <c r="L142" s="1138">
        <v>0</v>
      </c>
      <c r="M142" s="1138">
        <v>0</v>
      </c>
      <c r="N142" s="1138">
        <v>0</v>
      </c>
      <c r="O142" s="1138">
        <v>3619</v>
      </c>
      <c r="P142" s="1138">
        <v>0</v>
      </c>
      <c r="Q142" s="1138">
        <v>0</v>
      </c>
      <c r="R142" s="1138">
        <v>0</v>
      </c>
      <c r="S142" s="1138">
        <v>0</v>
      </c>
      <c r="T142" s="1138">
        <v>0</v>
      </c>
      <c r="U142" s="1138">
        <v>0</v>
      </c>
      <c r="V142" s="1138">
        <v>0</v>
      </c>
      <c r="W142" s="1138">
        <v>0</v>
      </c>
      <c r="X142" s="1138">
        <v>0</v>
      </c>
      <c r="Y142" s="1138">
        <v>0</v>
      </c>
      <c r="Z142" s="1138">
        <v>0</v>
      </c>
      <c r="AA142" s="1138">
        <v>0</v>
      </c>
      <c r="AB142" s="1138">
        <v>0</v>
      </c>
      <c r="AC142" s="1138">
        <v>0</v>
      </c>
      <c r="AD142" s="1138">
        <v>0</v>
      </c>
      <c r="AE142" s="1138">
        <v>0</v>
      </c>
      <c r="AF142" s="1138">
        <v>0</v>
      </c>
      <c r="AG142" s="1138">
        <v>0</v>
      </c>
      <c r="AH142" s="1138">
        <v>0</v>
      </c>
      <c r="AI142" s="1138">
        <v>0</v>
      </c>
      <c r="AJ142" s="1138">
        <v>0</v>
      </c>
      <c r="AK142" s="1138">
        <v>0</v>
      </c>
      <c r="AL142" s="1138">
        <v>0</v>
      </c>
      <c r="AM142" s="1138">
        <v>0</v>
      </c>
      <c r="AN142" s="1138">
        <v>0</v>
      </c>
      <c r="AO142" s="1138">
        <v>0</v>
      </c>
      <c r="AP142" s="1138">
        <v>0</v>
      </c>
      <c r="AQ142" s="1138">
        <v>0</v>
      </c>
      <c r="AR142" s="1138">
        <v>0</v>
      </c>
      <c r="AS142" s="1138">
        <v>2000</v>
      </c>
      <c r="AT142" s="1138">
        <v>0</v>
      </c>
      <c r="AU142" s="1138">
        <v>0</v>
      </c>
      <c r="AV142" s="1138">
        <v>0</v>
      </c>
      <c r="AW142" s="1138">
        <v>0</v>
      </c>
      <c r="AX142" s="1138">
        <v>0</v>
      </c>
      <c r="AY142" s="1138">
        <v>0</v>
      </c>
      <c r="AZ142" s="1138">
        <v>0</v>
      </c>
      <c r="BA142" s="1138">
        <v>0</v>
      </c>
      <c r="BB142" s="1138">
        <v>0</v>
      </c>
      <c r="BC142" s="1138">
        <v>0</v>
      </c>
      <c r="BD142" s="1138">
        <v>0</v>
      </c>
      <c r="BE142" s="1138">
        <v>0</v>
      </c>
      <c r="BF142" s="1138">
        <v>0</v>
      </c>
      <c r="BG142" s="1138">
        <v>0</v>
      </c>
      <c r="BH142" s="1138">
        <v>0</v>
      </c>
      <c r="BI142" s="1138">
        <v>0</v>
      </c>
      <c r="BJ142" s="1138">
        <v>0</v>
      </c>
      <c r="BK142" s="1138">
        <v>0</v>
      </c>
      <c r="BL142" s="1138">
        <v>0</v>
      </c>
      <c r="BM142" s="1138">
        <v>0</v>
      </c>
      <c r="BN142" s="1138">
        <v>0</v>
      </c>
      <c r="BO142" s="1138">
        <v>0</v>
      </c>
      <c r="BP142" s="1138">
        <v>0</v>
      </c>
      <c r="BQ142" s="1138">
        <v>0</v>
      </c>
      <c r="BR142" s="1138">
        <v>0</v>
      </c>
      <c r="BS142" s="1138">
        <v>0</v>
      </c>
      <c r="BT142" s="1138">
        <v>0</v>
      </c>
      <c r="BU142" s="1138">
        <v>0</v>
      </c>
      <c r="BV142" s="1138">
        <v>0</v>
      </c>
      <c r="BW142" s="1138">
        <v>25000</v>
      </c>
      <c r="BX142" s="1138">
        <v>0</v>
      </c>
      <c r="BY142" s="1138">
        <v>0</v>
      </c>
      <c r="BZ142" s="1138">
        <v>0</v>
      </c>
      <c r="CA142" s="1138">
        <v>0</v>
      </c>
      <c r="CB142" s="1138">
        <v>0</v>
      </c>
    </row>
    <row r="143" spans="1:80" x14ac:dyDescent="0.3">
      <c r="A143" s="269">
        <v>384</v>
      </c>
      <c r="B143" s="1002">
        <v>384</v>
      </c>
      <c r="C143" s="269" t="s">
        <v>124</v>
      </c>
      <c r="D143" s="269" t="s">
        <v>460</v>
      </c>
      <c r="E143" s="1138">
        <v>0</v>
      </c>
      <c r="F143" s="1138">
        <v>0</v>
      </c>
      <c r="G143" s="1138">
        <v>0</v>
      </c>
      <c r="H143" s="1138">
        <v>0</v>
      </c>
      <c r="I143" s="1138">
        <v>0</v>
      </c>
      <c r="J143" s="1138">
        <v>0</v>
      </c>
      <c r="K143" s="1138">
        <v>0</v>
      </c>
      <c r="L143" s="1138">
        <v>0</v>
      </c>
      <c r="M143" s="1138">
        <v>0</v>
      </c>
      <c r="N143" s="1138">
        <v>0</v>
      </c>
      <c r="O143" s="1138">
        <v>0</v>
      </c>
      <c r="P143" s="1138">
        <v>0</v>
      </c>
      <c r="Q143" s="1138">
        <v>0</v>
      </c>
      <c r="R143" s="1138">
        <v>0</v>
      </c>
      <c r="S143" s="1138">
        <v>0</v>
      </c>
      <c r="T143" s="1138">
        <v>0</v>
      </c>
      <c r="U143" s="1138">
        <v>0</v>
      </c>
      <c r="V143" s="1138">
        <v>0</v>
      </c>
      <c r="W143" s="1138">
        <v>0</v>
      </c>
      <c r="X143" s="1138">
        <v>0</v>
      </c>
      <c r="Y143" s="1138">
        <v>0</v>
      </c>
      <c r="Z143" s="1138">
        <v>0</v>
      </c>
      <c r="AA143" s="1138">
        <v>0</v>
      </c>
      <c r="AB143" s="1138">
        <v>0</v>
      </c>
      <c r="AC143" s="1138">
        <v>0</v>
      </c>
      <c r="AD143" s="1138">
        <v>0</v>
      </c>
      <c r="AE143" s="1138">
        <v>0</v>
      </c>
      <c r="AF143" s="1138">
        <v>0</v>
      </c>
      <c r="AG143" s="1138">
        <v>0</v>
      </c>
      <c r="AH143" s="1138">
        <v>0</v>
      </c>
      <c r="AI143" s="1138">
        <v>0</v>
      </c>
      <c r="AJ143" s="1138">
        <v>0</v>
      </c>
      <c r="AK143" s="1138">
        <v>0</v>
      </c>
      <c r="AL143" s="1138">
        <v>0</v>
      </c>
      <c r="AM143" s="1138">
        <v>0</v>
      </c>
      <c r="AN143" s="1138">
        <v>0</v>
      </c>
      <c r="AO143" s="1138">
        <v>0</v>
      </c>
      <c r="AP143" s="1138">
        <v>0</v>
      </c>
      <c r="AQ143" s="1138">
        <v>0</v>
      </c>
      <c r="AR143" s="1138">
        <v>0</v>
      </c>
      <c r="AS143" s="1138">
        <v>0</v>
      </c>
      <c r="AT143" s="1138">
        <v>0</v>
      </c>
      <c r="AU143" s="1138">
        <v>0</v>
      </c>
      <c r="AV143" s="1138">
        <v>0</v>
      </c>
      <c r="AW143" s="1138">
        <v>0</v>
      </c>
      <c r="AX143" s="1138">
        <v>0</v>
      </c>
      <c r="AY143" s="1138">
        <v>0</v>
      </c>
      <c r="AZ143" s="1138">
        <v>0</v>
      </c>
      <c r="BA143" s="1138">
        <v>0</v>
      </c>
      <c r="BB143" s="1138">
        <v>0</v>
      </c>
      <c r="BC143" s="1138">
        <v>0</v>
      </c>
      <c r="BD143" s="1138">
        <v>0</v>
      </c>
      <c r="BE143" s="1138">
        <v>0</v>
      </c>
      <c r="BF143" s="1138">
        <v>0</v>
      </c>
      <c r="BG143" s="1138">
        <v>0</v>
      </c>
      <c r="BH143" s="1138">
        <v>0</v>
      </c>
      <c r="BI143" s="1138">
        <v>0</v>
      </c>
      <c r="BJ143" s="1138">
        <v>0</v>
      </c>
      <c r="BK143" s="1138">
        <v>0</v>
      </c>
      <c r="BL143" s="1138">
        <v>0</v>
      </c>
      <c r="BM143" s="1138">
        <v>0</v>
      </c>
      <c r="BN143" s="1138">
        <v>0</v>
      </c>
      <c r="BO143" s="1138">
        <v>0</v>
      </c>
      <c r="BP143" s="1138">
        <v>0</v>
      </c>
      <c r="BQ143" s="1138">
        <v>0</v>
      </c>
      <c r="BR143" s="1138">
        <v>0</v>
      </c>
      <c r="BS143" s="1138">
        <v>0</v>
      </c>
      <c r="BT143" s="1138">
        <v>0</v>
      </c>
      <c r="BU143" s="1138">
        <v>0</v>
      </c>
      <c r="BV143" s="1138">
        <v>0</v>
      </c>
      <c r="BW143" s="1138">
        <v>0</v>
      </c>
      <c r="BX143" s="1138">
        <v>0</v>
      </c>
      <c r="BY143" s="1138">
        <v>0</v>
      </c>
      <c r="BZ143" s="1138">
        <v>0</v>
      </c>
      <c r="CA143" s="1138">
        <v>0</v>
      </c>
      <c r="CB143" s="1138">
        <v>0</v>
      </c>
    </row>
    <row r="144" spans="1:80" x14ac:dyDescent="0.3">
      <c r="A144" s="269">
        <v>385</v>
      </c>
      <c r="B144" s="1002">
        <v>385</v>
      </c>
      <c r="C144" s="269" t="s">
        <v>115</v>
      </c>
      <c r="D144" s="269" t="s">
        <v>461</v>
      </c>
      <c r="E144" s="1138">
        <v>3343706</v>
      </c>
      <c r="F144" s="1138">
        <v>77821209</v>
      </c>
      <c r="G144" s="1138">
        <v>0</v>
      </c>
      <c r="H144" s="1138">
        <v>156013067</v>
      </c>
      <c r="I144" s="1138">
        <v>12345656</v>
      </c>
      <c r="J144" s="1138">
        <v>706215</v>
      </c>
      <c r="K144" s="1138">
        <v>3709245</v>
      </c>
      <c r="L144" s="1138">
        <v>4967299</v>
      </c>
      <c r="M144" s="1138">
        <v>217689552</v>
      </c>
      <c r="N144" s="1138">
        <v>326905</v>
      </c>
      <c r="O144" s="1138">
        <v>2127940</v>
      </c>
      <c r="P144" s="1138">
        <v>2751189</v>
      </c>
      <c r="Q144" s="1138">
        <v>179526627</v>
      </c>
      <c r="R144" s="1138">
        <v>58418850</v>
      </c>
      <c r="S144" s="1138">
        <v>15455840</v>
      </c>
      <c r="T144" s="1138">
        <v>24415719</v>
      </c>
      <c r="U144" s="1138">
        <v>0</v>
      </c>
      <c r="V144" s="1138">
        <v>49817284</v>
      </c>
      <c r="W144" s="1138">
        <v>274111</v>
      </c>
      <c r="X144" s="1138">
        <v>34334469</v>
      </c>
      <c r="Y144" s="1138">
        <v>111132481</v>
      </c>
      <c r="Z144" s="1138">
        <v>17974126</v>
      </c>
      <c r="AA144" s="1138">
        <v>4672184</v>
      </c>
      <c r="AB144" s="1138">
        <v>12640437</v>
      </c>
      <c r="AC144" s="1138">
        <v>1584794</v>
      </c>
      <c r="AD144" s="1138">
        <v>589296</v>
      </c>
      <c r="AE144" s="1138">
        <v>3660767</v>
      </c>
      <c r="AF144" s="1138">
        <v>6693813</v>
      </c>
      <c r="AG144" s="1138">
        <v>1355807</v>
      </c>
      <c r="AH144" s="1138">
        <v>170332</v>
      </c>
      <c r="AI144" s="1138">
        <v>1420903</v>
      </c>
      <c r="AJ144" s="1138">
        <v>3831333</v>
      </c>
      <c r="AK144" s="1138">
        <v>18660268</v>
      </c>
      <c r="AL144" s="1138">
        <v>877364</v>
      </c>
      <c r="AM144" s="1138">
        <v>138255</v>
      </c>
      <c r="AN144" s="1138">
        <v>81706439</v>
      </c>
      <c r="AO144" s="1138">
        <v>39183185</v>
      </c>
      <c r="AP144" s="1138">
        <v>846770</v>
      </c>
      <c r="AQ144" s="1138">
        <v>19813810</v>
      </c>
      <c r="AR144" s="1138">
        <v>75368301</v>
      </c>
      <c r="AS144" s="1138">
        <v>5283714</v>
      </c>
      <c r="AT144" s="1138">
        <v>2018406</v>
      </c>
      <c r="AU144" s="1138">
        <v>10215713</v>
      </c>
      <c r="AV144" s="1138">
        <v>27321011</v>
      </c>
      <c r="AW144" s="1138">
        <v>1011174</v>
      </c>
      <c r="AX144" s="1138">
        <v>1463828</v>
      </c>
      <c r="AY144" s="1138">
        <v>14259657</v>
      </c>
      <c r="AZ144" s="1138">
        <v>6060694</v>
      </c>
      <c r="BA144" s="1138">
        <v>9355521</v>
      </c>
      <c r="BB144" s="1138">
        <v>127329</v>
      </c>
      <c r="BC144" s="1138">
        <v>0</v>
      </c>
      <c r="BD144" s="1138">
        <v>0</v>
      </c>
      <c r="BE144" s="1138">
        <v>408957</v>
      </c>
      <c r="BF144" s="1138">
        <v>0</v>
      </c>
      <c r="BG144" s="1138">
        <v>821886</v>
      </c>
      <c r="BH144" s="1138">
        <v>220345</v>
      </c>
      <c r="BI144" s="1138">
        <v>5546458</v>
      </c>
      <c r="BJ144" s="1138">
        <v>11267383</v>
      </c>
      <c r="BK144" s="1138">
        <v>0</v>
      </c>
      <c r="BL144" s="1138">
        <v>15001182</v>
      </c>
      <c r="BM144" s="1138">
        <v>14478241</v>
      </c>
      <c r="BN144" s="1138">
        <v>183042</v>
      </c>
      <c r="BO144" s="1138">
        <v>15803930</v>
      </c>
      <c r="BP144" s="1138">
        <v>8419515</v>
      </c>
      <c r="BQ144" s="1138">
        <v>2442597</v>
      </c>
      <c r="BR144" s="1138">
        <v>3297402</v>
      </c>
      <c r="BS144" s="1138">
        <v>6617247</v>
      </c>
      <c r="BT144" s="1138">
        <v>276251672</v>
      </c>
      <c r="BU144" s="1138">
        <v>5635008</v>
      </c>
      <c r="BV144" s="1138">
        <v>5124515</v>
      </c>
      <c r="BW144" s="1138">
        <v>2566500</v>
      </c>
      <c r="BX144" s="1138">
        <v>4428989</v>
      </c>
      <c r="BY144" s="1138">
        <v>186588</v>
      </c>
      <c r="BZ144" s="1138">
        <v>216718</v>
      </c>
      <c r="CA144" s="1138">
        <v>74539349</v>
      </c>
      <c r="CB144" s="1138">
        <v>358980</v>
      </c>
    </row>
    <row r="145" spans="1:80" x14ac:dyDescent="0.3">
      <c r="A145" s="269">
        <v>386</v>
      </c>
      <c r="B145" s="1002">
        <v>386</v>
      </c>
      <c r="C145" s="269" t="s">
        <v>194</v>
      </c>
      <c r="D145" s="269" t="s">
        <v>462</v>
      </c>
      <c r="E145" s="1138">
        <v>0</v>
      </c>
      <c r="F145" s="1138">
        <v>0</v>
      </c>
      <c r="G145" s="1138">
        <v>0</v>
      </c>
      <c r="H145" s="1138">
        <v>0</v>
      </c>
      <c r="I145" s="1138">
        <v>0</v>
      </c>
      <c r="J145" s="1138">
        <v>0</v>
      </c>
      <c r="K145" s="1138">
        <v>0</v>
      </c>
      <c r="L145" s="1138">
        <v>0</v>
      </c>
      <c r="M145" s="1138">
        <v>0</v>
      </c>
      <c r="N145" s="1138">
        <v>0</v>
      </c>
      <c r="O145" s="1138">
        <v>0</v>
      </c>
      <c r="P145" s="1138">
        <v>0</v>
      </c>
      <c r="Q145" s="1138">
        <v>0</v>
      </c>
      <c r="R145" s="1138">
        <v>0</v>
      </c>
      <c r="S145" s="1138">
        <v>0</v>
      </c>
      <c r="T145" s="1138">
        <v>2279757</v>
      </c>
      <c r="U145" s="1138">
        <v>0</v>
      </c>
      <c r="V145" s="1138">
        <v>7393251</v>
      </c>
      <c r="W145" s="1138">
        <v>0</v>
      </c>
      <c r="X145" s="1138">
        <v>0</v>
      </c>
      <c r="Y145" s="1138">
        <v>0</v>
      </c>
      <c r="Z145" s="1138">
        <v>0</v>
      </c>
      <c r="AA145" s="1138">
        <v>232331</v>
      </c>
      <c r="AB145" s="1138">
        <v>0</v>
      </c>
      <c r="AC145" s="1138">
        <v>0</v>
      </c>
      <c r="AD145" s="1138">
        <v>0</v>
      </c>
      <c r="AE145" s="1138">
        <v>0</v>
      </c>
      <c r="AF145" s="1138">
        <v>0</v>
      </c>
      <c r="AG145" s="1138">
        <v>0</v>
      </c>
      <c r="AH145" s="1138">
        <v>0</v>
      </c>
      <c r="AI145" s="1138">
        <v>0</v>
      </c>
      <c r="AJ145" s="1138">
        <v>0</v>
      </c>
      <c r="AK145" s="1138">
        <v>63332</v>
      </c>
      <c r="AL145" s="1138">
        <v>0</v>
      </c>
      <c r="AM145" s="1138">
        <v>0</v>
      </c>
      <c r="AN145" s="1138">
        <v>0</v>
      </c>
      <c r="AO145" s="1138">
        <v>0</v>
      </c>
      <c r="AP145" s="1138">
        <v>0</v>
      </c>
      <c r="AQ145" s="1138">
        <v>0</v>
      </c>
      <c r="AR145" s="1138">
        <v>3618381</v>
      </c>
      <c r="AS145" s="1138">
        <v>4585</v>
      </c>
      <c r="AT145" s="1138">
        <v>12992</v>
      </c>
      <c r="AU145" s="1138">
        <v>0</v>
      </c>
      <c r="AV145" s="1138">
        <v>405071</v>
      </c>
      <c r="AW145" s="1138">
        <v>0</v>
      </c>
      <c r="AX145" s="1138">
        <v>0</v>
      </c>
      <c r="AY145" s="1138">
        <v>0</v>
      </c>
      <c r="AZ145" s="1138">
        <v>0</v>
      </c>
      <c r="BA145" s="1138">
        <v>367305</v>
      </c>
      <c r="BB145" s="1138">
        <v>0</v>
      </c>
      <c r="BC145" s="1138">
        <v>0</v>
      </c>
      <c r="BD145" s="1138">
        <v>0</v>
      </c>
      <c r="BE145" s="1138">
        <v>0</v>
      </c>
      <c r="BF145" s="1138">
        <v>0</v>
      </c>
      <c r="BG145" s="1138">
        <v>0</v>
      </c>
      <c r="BH145" s="1138">
        <v>0</v>
      </c>
      <c r="BI145" s="1138">
        <v>0</v>
      </c>
      <c r="BJ145" s="1138">
        <v>0</v>
      </c>
      <c r="BK145" s="1138">
        <v>0</v>
      </c>
      <c r="BL145" s="1138">
        <v>0</v>
      </c>
      <c r="BM145" s="1138">
        <v>0</v>
      </c>
      <c r="BN145" s="1138">
        <v>0</v>
      </c>
      <c r="BO145" s="1138">
        <v>173000</v>
      </c>
      <c r="BP145" s="1138">
        <v>0</v>
      </c>
      <c r="BQ145" s="1138">
        <v>0</v>
      </c>
      <c r="BR145" s="1138">
        <v>0</v>
      </c>
      <c r="BS145" s="1138">
        <v>0</v>
      </c>
      <c r="BT145" s="1138">
        <v>0</v>
      </c>
      <c r="BU145" s="1138">
        <v>1780</v>
      </c>
      <c r="BV145" s="1138">
        <v>0</v>
      </c>
      <c r="BW145" s="1138">
        <v>0</v>
      </c>
      <c r="BX145" s="1138">
        <v>0</v>
      </c>
      <c r="BY145" s="1138">
        <v>0</v>
      </c>
      <c r="BZ145" s="1138">
        <v>0</v>
      </c>
      <c r="CA145" s="1138">
        <v>0</v>
      </c>
      <c r="CB145" s="1138">
        <v>0</v>
      </c>
    </row>
    <row r="146" spans="1:80" x14ac:dyDescent="0.3">
      <c r="A146" s="269">
        <v>387</v>
      </c>
      <c r="B146" s="1002">
        <v>387</v>
      </c>
      <c r="C146" s="269" t="s">
        <v>195</v>
      </c>
      <c r="D146" s="269" t="s">
        <v>463</v>
      </c>
      <c r="E146" s="1138">
        <v>0</v>
      </c>
      <c r="F146" s="1138">
        <v>0</v>
      </c>
      <c r="G146" s="1138">
        <v>0</v>
      </c>
      <c r="H146" s="1138">
        <v>1008548</v>
      </c>
      <c r="I146" s="1138">
        <v>0</v>
      </c>
      <c r="J146" s="1138">
        <v>0</v>
      </c>
      <c r="K146" s="1138">
        <v>244595</v>
      </c>
      <c r="L146" s="1138">
        <v>0</v>
      </c>
      <c r="M146" s="1138">
        <v>5052900</v>
      </c>
      <c r="N146" s="1138">
        <v>0</v>
      </c>
      <c r="O146" s="1138">
        <v>0</v>
      </c>
      <c r="P146" s="1138">
        <v>0</v>
      </c>
      <c r="Q146" s="1138">
        <v>220579</v>
      </c>
      <c r="R146" s="1138">
        <v>0</v>
      </c>
      <c r="S146" s="1138">
        <v>0</v>
      </c>
      <c r="T146" s="1138">
        <v>0</v>
      </c>
      <c r="U146" s="1138">
        <v>0</v>
      </c>
      <c r="V146" s="1138">
        <v>0</v>
      </c>
      <c r="W146" s="1138">
        <v>0</v>
      </c>
      <c r="X146" s="1138">
        <v>0</v>
      </c>
      <c r="Y146" s="1138">
        <v>0</v>
      </c>
      <c r="Z146" s="1138">
        <v>0</v>
      </c>
      <c r="AA146" s="1138">
        <v>0</v>
      </c>
      <c r="AB146" s="1138">
        <v>0</v>
      </c>
      <c r="AC146" s="1138">
        <v>0</v>
      </c>
      <c r="AD146" s="1138">
        <v>0</v>
      </c>
      <c r="AE146" s="1138">
        <v>0</v>
      </c>
      <c r="AF146" s="1138">
        <v>0</v>
      </c>
      <c r="AG146" s="1138">
        <v>0</v>
      </c>
      <c r="AH146" s="1138">
        <v>0</v>
      </c>
      <c r="AI146" s="1138">
        <v>0</v>
      </c>
      <c r="AJ146" s="1138">
        <v>0</v>
      </c>
      <c r="AK146" s="1138">
        <v>0</v>
      </c>
      <c r="AL146" s="1138">
        <v>0</v>
      </c>
      <c r="AM146" s="1138">
        <v>0</v>
      </c>
      <c r="AN146" s="1138">
        <v>205566</v>
      </c>
      <c r="AO146" s="1138">
        <v>0</v>
      </c>
      <c r="AP146" s="1138">
        <v>0</v>
      </c>
      <c r="AQ146" s="1138">
        <v>0</v>
      </c>
      <c r="AR146" s="1138">
        <v>420692</v>
      </c>
      <c r="AS146" s="1138">
        <v>0</v>
      </c>
      <c r="AT146" s="1138">
        <v>10875</v>
      </c>
      <c r="AU146" s="1138">
        <v>0</v>
      </c>
      <c r="AV146" s="1138">
        <v>0</v>
      </c>
      <c r="AW146" s="1138">
        <v>0</v>
      </c>
      <c r="AX146" s="1138">
        <v>0</v>
      </c>
      <c r="AY146" s="1138">
        <v>0</v>
      </c>
      <c r="AZ146" s="1138">
        <v>0</v>
      </c>
      <c r="BA146" s="1138">
        <v>0</v>
      </c>
      <c r="BB146" s="1138">
        <v>0</v>
      </c>
      <c r="BC146" s="1138">
        <v>0</v>
      </c>
      <c r="BD146" s="1138">
        <v>0</v>
      </c>
      <c r="BE146" s="1138">
        <v>0</v>
      </c>
      <c r="BF146" s="1138">
        <v>0</v>
      </c>
      <c r="BG146" s="1138">
        <v>0</v>
      </c>
      <c r="BH146" s="1138">
        <v>0</v>
      </c>
      <c r="BI146" s="1138">
        <v>0</v>
      </c>
      <c r="BJ146" s="1138">
        <v>0</v>
      </c>
      <c r="BK146" s="1138">
        <v>0</v>
      </c>
      <c r="BL146" s="1138">
        <v>0</v>
      </c>
      <c r="BM146" s="1138">
        <v>0</v>
      </c>
      <c r="BN146" s="1138">
        <v>0</v>
      </c>
      <c r="BO146" s="1138">
        <v>0</v>
      </c>
      <c r="BP146" s="1138">
        <v>0</v>
      </c>
      <c r="BQ146" s="1138">
        <v>0</v>
      </c>
      <c r="BR146" s="1138">
        <v>0</v>
      </c>
      <c r="BS146" s="1138">
        <v>0</v>
      </c>
      <c r="BT146" s="1138">
        <v>0</v>
      </c>
      <c r="BU146" s="1138">
        <v>0</v>
      </c>
      <c r="BV146" s="1138">
        <v>17560</v>
      </c>
      <c r="BW146" s="1138">
        <v>0</v>
      </c>
      <c r="BX146" s="1138">
        <v>0</v>
      </c>
      <c r="BY146" s="1138">
        <v>0</v>
      </c>
      <c r="BZ146" s="1138">
        <v>0</v>
      </c>
      <c r="CA146" s="1138">
        <v>57302</v>
      </c>
      <c r="CB146" s="1138">
        <v>0</v>
      </c>
    </row>
    <row r="147" spans="1:80" x14ac:dyDescent="0.3">
      <c r="A147" s="269">
        <v>388</v>
      </c>
      <c r="B147" s="1002">
        <v>388</v>
      </c>
      <c r="C147" s="269" t="s">
        <v>189</v>
      </c>
      <c r="D147" s="269" t="s">
        <v>464</v>
      </c>
      <c r="E147" s="1138">
        <v>9576006</v>
      </c>
      <c r="F147" s="1138">
        <v>12535554</v>
      </c>
      <c r="G147" s="1138">
        <v>0</v>
      </c>
      <c r="H147" s="1138">
        <v>53491428</v>
      </c>
      <c r="I147" s="1138">
        <v>4196012</v>
      </c>
      <c r="J147" s="1138">
        <v>257952</v>
      </c>
      <c r="K147" s="1138">
        <v>1079526</v>
      </c>
      <c r="L147" s="1138">
        <v>1895917</v>
      </c>
      <c r="M147" s="1138">
        <v>42064152</v>
      </c>
      <c r="N147" s="1138">
        <v>88227</v>
      </c>
      <c r="O147" s="1138">
        <v>866202</v>
      </c>
      <c r="P147" s="1138">
        <v>1607489</v>
      </c>
      <c r="Q147" s="1138">
        <v>32797721</v>
      </c>
      <c r="R147" s="1138">
        <v>17041488</v>
      </c>
      <c r="S147" s="1138">
        <v>6788317</v>
      </c>
      <c r="T147" s="1138">
        <v>14599537</v>
      </c>
      <c r="U147" s="1138">
        <v>0</v>
      </c>
      <c r="V147" s="1138">
        <v>24884877</v>
      </c>
      <c r="W147" s="1138">
        <v>25435</v>
      </c>
      <c r="X147" s="1138">
        <v>10998256</v>
      </c>
      <c r="Y147" s="1138">
        <v>15926396</v>
      </c>
      <c r="Z147" s="1138">
        <v>5408057</v>
      </c>
      <c r="AA147" s="1138">
        <v>1818096</v>
      </c>
      <c r="AB147" s="1138">
        <v>4705151</v>
      </c>
      <c r="AC147" s="1138">
        <v>1334182</v>
      </c>
      <c r="AD147" s="1138">
        <v>355111</v>
      </c>
      <c r="AE147" s="1138">
        <v>990975</v>
      </c>
      <c r="AF147" s="1138">
        <v>3455350</v>
      </c>
      <c r="AG147" s="1138">
        <v>111741</v>
      </c>
      <c r="AH147" s="1138">
        <v>38136</v>
      </c>
      <c r="AI147" s="1138">
        <v>141416</v>
      </c>
      <c r="AJ147" s="1138">
        <v>2614349</v>
      </c>
      <c r="AK147" s="1138">
        <v>7682893</v>
      </c>
      <c r="AL147" s="1138">
        <v>233264</v>
      </c>
      <c r="AM147" s="1138">
        <v>24175</v>
      </c>
      <c r="AN147" s="1138">
        <v>22171446</v>
      </c>
      <c r="AO147" s="1138">
        <v>18335638</v>
      </c>
      <c r="AP147" s="1138">
        <v>334486</v>
      </c>
      <c r="AQ147" s="1138">
        <v>4123655</v>
      </c>
      <c r="AR147" s="1138">
        <v>23672140</v>
      </c>
      <c r="AS147" s="1138">
        <v>2760789</v>
      </c>
      <c r="AT147" s="1138">
        <v>570308</v>
      </c>
      <c r="AU147" s="1138">
        <v>4466316</v>
      </c>
      <c r="AV147" s="1138">
        <v>11251446</v>
      </c>
      <c r="AW147" s="1138">
        <v>115766</v>
      </c>
      <c r="AX147" s="1138">
        <v>535646</v>
      </c>
      <c r="AY147" s="1138">
        <v>3204547</v>
      </c>
      <c r="AZ147" s="1138">
        <v>3699419</v>
      </c>
      <c r="BA147" s="1138">
        <v>3825011</v>
      </c>
      <c r="BB147" s="1138">
        <v>127625</v>
      </c>
      <c r="BC147" s="1138">
        <v>0</v>
      </c>
      <c r="BD147" s="1138">
        <v>0</v>
      </c>
      <c r="BE147" s="1138">
        <v>77647</v>
      </c>
      <c r="BF147" s="1138">
        <v>0</v>
      </c>
      <c r="BG147" s="1138">
        <v>346369</v>
      </c>
      <c r="BH147" s="1138">
        <v>53898</v>
      </c>
      <c r="BI147" s="1138">
        <v>3261936</v>
      </c>
      <c r="BJ147" s="1138">
        <v>2424476</v>
      </c>
      <c r="BK147" s="1138">
        <v>0</v>
      </c>
      <c r="BL147" s="1138">
        <v>8715469</v>
      </c>
      <c r="BM147" s="1138">
        <v>4509230</v>
      </c>
      <c r="BN147" s="1138">
        <v>35761</v>
      </c>
      <c r="BO147" s="1138">
        <v>6998291</v>
      </c>
      <c r="BP147" s="1138">
        <v>1764782</v>
      </c>
      <c r="BQ147" s="1138">
        <v>891257</v>
      </c>
      <c r="BR147" s="1138">
        <v>1828496</v>
      </c>
      <c r="BS147" s="1138">
        <v>1375978</v>
      </c>
      <c r="BT147" s="1138">
        <v>23872284</v>
      </c>
      <c r="BU147" s="1138">
        <v>1980820</v>
      </c>
      <c r="BV147" s="1138">
        <v>2683271</v>
      </c>
      <c r="BW147" s="1138">
        <v>1002690</v>
      </c>
      <c r="BX147" s="1138">
        <v>807183</v>
      </c>
      <c r="BY147" s="1138">
        <v>27869</v>
      </c>
      <c r="BZ147" s="1138">
        <v>45207</v>
      </c>
      <c r="CA147" s="1138">
        <v>16588605</v>
      </c>
      <c r="CB147" s="1138">
        <v>65553</v>
      </c>
    </row>
    <row r="148" spans="1:80" x14ac:dyDescent="0.3">
      <c r="A148" s="269">
        <v>389</v>
      </c>
      <c r="B148" s="1002">
        <v>389</v>
      </c>
      <c r="C148" s="269" t="s">
        <v>196</v>
      </c>
      <c r="D148" s="269" t="s">
        <v>465</v>
      </c>
      <c r="E148" s="1138">
        <v>0</v>
      </c>
      <c r="F148" s="1138">
        <v>0</v>
      </c>
      <c r="G148" s="1138">
        <v>0</v>
      </c>
      <c r="H148" s="1138">
        <v>0</v>
      </c>
      <c r="I148" s="1138">
        <v>25000</v>
      </c>
      <c r="J148" s="1138">
        <v>0</v>
      </c>
      <c r="K148" s="1138">
        <v>0</v>
      </c>
      <c r="L148" s="1138">
        <v>0</v>
      </c>
      <c r="M148" s="1138">
        <v>0</v>
      </c>
      <c r="N148" s="1138">
        <v>0</v>
      </c>
      <c r="O148" s="1138">
        <v>0</v>
      </c>
      <c r="P148" s="1138">
        <v>0</v>
      </c>
      <c r="Q148" s="1138">
        <v>0</v>
      </c>
      <c r="R148" s="1138">
        <v>0</v>
      </c>
      <c r="S148" s="1138">
        <v>0</v>
      </c>
      <c r="T148" s="1138">
        <v>0</v>
      </c>
      <c r="U148" s="1138">
        <v>0</v>
      </c>
      <c r="V148" s="1138">
        <v>0</v>
      </c>
      <c r="W148" s="1138">
        <v>0</v>
      </c>
      <c r="X148" s="1138">
        <v>0</v>
      </c>
      <c r="Y148" s="1138">
        <v>0</v>
      </c>
      <c r="Z148" s="1138">
        <v>0</v>
      </c>
      <c r="AA148" s="1138">
        <v>0</v>
      </c>
      <c r="AB148" s="1138">
        <v>0</v>
      </c>
      <c r="AC148" s="1138">
        <v>0</v>
      </c>
      <c r="AD148" s="1138">
        <v>0</v>
      </c>
      <c r="AE148" s="1138">
        <v>0</v>
      </c>
      <c r="AF148" s="1138">
        <v>0</v>
      </c>
      <c r="AG148" s="1138">
        <v>0</v>
      </c>
      <c r="AH148" s="1138">
        <v>0</v>
      </c>
      <c r="AI148" s="1138">
        <v>0</v>
      </c>
      <c r="AJ148" s="1138">
        <v>0</v>
      </c>
      <c r="AK148" s="1138">
        <v>-36798</v>
      </c>
      <c r="AL148" s="1138">
        <v>0</v>
      </c>
      <c r="AM148" s="1138">
        <v>0</v>
      </c>
      <c r="AN148" s="1138">
        <v>0</v>
      </c>
      <c r="AO148" s="1138">
        <v>0</v>
      </c>
      <c r="AP148" s="1138">
        <v>0</v>
      </c>
      <c r="AQ148" s="1138">
        <v>0</v>
      </c>
      <c r="AR148" s="1138">
        <v>0</v>
      </c>
      <c r="AS148" s="1138">
        <v>0</v>
      </c>
      <c r="AT148" s="1138">
        <v>0</v>
      </c>
      <c r="AU148" s="1138">
        <v>0</v>
      </c>
      <c r="AV148" s="1138">
        <v>0</v>
      </c>
      <c r="AW148" s="1138">
        <v>0</v>
      </c>
      <c r="AX148" s="1138">
        <v>0</v>
      </c>
      <c r="AY148" s="1138">
        <v>0</v>
      </c>
      <c r="AZ148" s="1138">
        <v>0</v>
      </c>
      <c r="BA148" s="1138">
        <v>0</v>
      </c>
      <c r="BB148" s="1138">
        <v>0</v>
      </c>
      <c r="BC148" s="1138">
        <v>0</v>
      </c>
      <c r="BD148" s="1138">
        <v>0</v>
      </c>
      <c r="BE148" s="1138">
        <v>0</v>
      </c>
      <c r="BF148" s="1138">
        <v>0</v>
      </c>
      <c r="BG148" s="1138">
        <v>178200</v>
      </c>
      <c r="BH148" s="1138">
        <v>0</v>
      </c>
      <c r="BI148" s="1138">
        <v>0</v>
      </c>
      <c r="BJ148" s="1138">
        <v>0</v>
      </c>
      <c r="BK148" s="1138">
        <v>0</v>
      </c>
      <c r="BL148" s="1138">
        <v>0</v>
      </c>
      <c r="BM148" s="1138">
        <v>0</v>
      </c>
      <c r="BN148" s="1138">
        <v>0</v>
      </c>
      <c r="BO148" s="1138">
        <v>0</v>
      </c>
      <c r="BP148" s="1138">
        <v>0</v>
      </c>
      <c r="BQ148" s="1138">
        <v>0</v>
      </c>
      <c r="BR148" s="1138">
        <v>0</v>
      </c>
      <c r="BS148" s="1138">
        <v>0</v>
      </c>
      <c r="BT148" s="1138">
        <v>0</v>
      </c>
      <c r="BU148" s="1138">
        <v>0</v>
      </c>
      <c r="BV148" s="1138">
        <v>0</v>
      </c>
      <c r="BW148" s="1138">
        <v>39631</v>
      </c>
      <c r="BX148" s="1138">
        <v>0</v>
      </c>
      <c r="BY148" s="1138">
        <v>0</v>
      </c>
      <c r="BZ148" s="1138">
        <v>0</v>
      </c>
      <c r="CA148" s="1138">
        <v>0</v>
      </c>
      <c r="CB148" s="1138">
        <v>0</v>
      </c>
    </row>
    <row r="149" spans="1:80" x14ac:dyDescent="0.3">
      <c r="A149" s="269">
        <v>391</v>
      </c>
      <c r="B149" s="1002">
        <v>391</v>
      </c>
      <c r="C149" s="269" t="s">
        <v>201</v>
      </c>
      <c r="D149" s="269" t="s">
        <v>466</v>
      </c>
      <c r="E149" s="1138">
        <v>257816</v>
      </c>
      <c r="F149" s="1138">
        <v>1862750</v>
      </c>
      <c r="G149" s="1138">
        <v>0</v>
      </c>
      <c r="H149" s="1138">
        <v>4478336</v>
      </c>
      <c r="I149" s="1138">
        <v>358790</v>
      </c>
      <c r="J149" s="1138">
        <v>54243</v>
      </c>
      <c r="K149" s="1138">
        <v>129522</v>
      </c>
      <c r="L149" s="1138">
        <v>601707</v>
      </c>
      <c r="M149" s="1138">
        <v>3817310</v>
      </c>
      <c r="N149" s="1138">
        <v>10010</v>
      </c>
      <c r="O149" s="1138">
        <v>90928</v>
      </c>
      <c r="P149" s="1138">
        <v>122924</v>
      </c>
      <c r="Q149" s="1138">
        <v>3091734</v>
      </c>
      <c r="R149" s="1138">
        <v>1960686</v>
      </c>
      <c r="S149" s="1138">
        <v>438201</v>
      </c>
      <c r="T149" s="1138">
        <v>1044968</v>
      </c>
      <c r="U149" s="1138">
        <v>0</v>
      </c>
      <c r="V149" s="1138">
        <v>1627756</v>
      </c>
      <c r="W149" s="1138">
        <v>2873</v>
      </c>
      <c r="X149" s="1138">
        <v>1033202</v>
      </c>
      <c r="Y149" s="1138">
        <v>1204758</v>
      </c>
      <c r="Z149" s="1138">
        <v>490333</v>
      </c>
      <c r="AA149" s="1138">
        <v>199760</v>
      </c>
      <c r="AB149" s="1138">
        <v>1126540</v>
      </c>
      <c r="AC149" s="1138">
        <v>88460</v>
      </c>
      <c r="AD149" s="1138">
        <v>1246</v>
      </c>
      <c r="AE149" s="1138">
        <v>128830</v>
      </c>
      <c r="AF149" s="1138">
        <v>581892</v>
      </c>
      <c r="AG149" s="1138">
        <v>10652</v>
      </c>
      <c r="AH149" s="1138">
        <v>5739</v>
      </c>
      <c r="AI149" s="1138">
        <v>7095</v>
      </c>
      <c r="AJ149" s="1138">
        <v>231208</v>
      </c>
      <c r="AK149" s="1138">
        <v>520059</v>
      </c>
      <c r="AL149" s="1138">
        <v>14002</v>
      </c>
      <c r="AM149" s="1138">
        <v>3206</v>
      </c>
      <c r="AN149" s="1138">
        <v>4281501</v>
      </c>
      <c r="AO149" s="1138">
        <v>1399198</v>
      </c>
      <c r="AP149" s="1138">
        <v>25199</v>
      </c>
      <c r="AQ149" s="1138">
        <v>375005</v>
      </c>
      <c r="AR149" s="1138">
        <v>4678408</v>
      </c>
      <c r="AS149" s="1138">
        <v>302701</v>
      </c>
      <c r="AT149" s="1138">
        <v>45139</v>
      </c>
      <c r="AU149" s="1138">
        <v>675456</v>
      </c>
      <c r="AV149" s="1138">
        <v>1006402</v>
      </c>
      <c r="AW149" s="1138">
        <v>3373</v>
      </c>
      <c r="AX149" s="1138">
        <v>29881</v>
      </c>
      <c r="AY149" s="1138">
        <v>216813</v>
      </c>
      <c r="AZ149" s="1138">
        <v>313889</v>
      </c>
      <c r="BA149" s="1138">
        <v>1016461</v>
      </c>
      <c r="BB149" s="1138">
        <v>6022</v>
      </c>
      <c r="BC149" s="1138">
        <v>0</v>
      </c>
      <c r="BD149" s="1138">
        <v>0</v>
      </c>
      <c r="BE149" s="1138">
        <v>7516</v>
      </c>
      <c r="BF149" s="1138">
        <v>0</v>
      </c>
      <c r="BG149" s="1138">
        <v>20790</v>
      </c>
      <c r="BH149" s="1138">
        <v>5810</v>
      </c>
      <c r="BI149" s="1138">
        <v>259019</v>
      </c>
      <c r="BJ149" s="1138">
        <v>139088</v>
      </c>
      <c r="BK149" s="1138">
        <v>0</v>
      </c>
      <c r="BL149" s="1138">
        <v>595729</v>
      </c>
      <c r="BM149" s="1138">
        <v>476432</v>
      </c>
      <c r="BN149" s="1138">
        <v>5800</v>
      </c>
      <c r="BO149" s="1138">
        <v>1277195</v>
      </c>
      <c r="BP149" s="1138">
        <v>149627</v>
      </c>
      <c r="BQ149" s="1138">
        <v>82474</v>
      </c>
      <c r="BR149" s="1138">
        <v>169605</v>
      </c>
      <c r="BS149" s="1138">
        <v>49327</v>
      </c>
      <c r="BT149" s="1138">
        <v>1522715</v>
      </c>
      <c r="BU149" s="1138">
        <v>546729</v>
      </c>
      <c r="BV149" s="1138">
        <v>235969</v>
      </c>
      <c r="BW149" s="1138">
        <v>190792</v>
      </c>
      <c r="BX149" s="1138">
        <v>568460</v>
      </c>
      <c r="BY149" s="1138">
        <v>1055</v>
      </c>
      <c r="BZ149" s="1138">
        <v>5238</v>
      </c>
      <c r="CA149" s="1138">
        <v>2746286</v>
      </c>
      <c r="CB149" s="1138">
        <v>3886</v>
      </c>
    </row>
    <row r="150" spans="1:80" x14ac:dyDescent="0.3">
      <c r="A150" s="269">
        <v>500</v>
      </c>
      <c r="B150" s="1002">
        <v>500</v>
      </c>
      <c r="C150" s="269" t="s">
        <v>183</v>
      </c>
      <c r="D150" s="269" t="s">
        <v>467</v>
      </c>
      <c r="E150" s="1138">
        <v>357372</v>
      </c>
      <c r="F150" s="1138">
        <v>4156898</v>
      </c>
      <c r="G150" s="1138">
        <v>0</v>
      </c>
      <c r="H150" s="1138">
        <v>10668431</v>
      </c>
      <c r="I150" s="1138">
        <v>553334</v>
      </c>
      <c r="J150" s="1138">
        <v>111447</v>
      </c>
      <c r="K150" s="1138">
        <v>73258</v>
      </c>
      <c r="L150" s="1138">
        <v>54751</v>
      </c>
      <c r="M150" s="1138">
        <v>11289520</v>
      </c>
      <c r="N150" s="1138">
        <v>32537</v>
      </c>
      <c r="O150" s="1138">
        <v>151344</v>
      </c>
      <c r="P150" s="1138">
        <v>145741</v>
      </c>
      <c r="Q150" s="1138">
        <v>2162739</v>
      </c>
      <c r="R150" s="1138">
        <v>8267864</v>
      </c>
      <c r="S150" s="1138">
        <v>17602</v>
      </c>
      <c r="T150" s="1138">
        <v>356189</v>
      </c>
      <c r="U150" s="1138">
        <v>0</v>
      </c>
      <c r="V150" s="1138">
        <v>0</v>
      </c>
      <c r="W150" s="1138">
        <v>102379</v>
      </c>
      <c r="X150" s="1138">
        <v>2961035</v>
      </c>
      <c r="Y150" s="1138">
        <v>1608373</v>
      </c>
      <c r="Z150" s="1138">
        <v>337927</v>
      </c>
      <c r="AA150" s="1138">
        <v>479689</v>
      </c>
      <c r="AB150" s="1138">
        <v>133527</v>
      </c>
      <c r="AC150" s="1138">
        <v>150429</v>
      </c>
      <c r="AD150" s="1138">
        <v>71311</v>
      </c>
      <c r="AE150" s="1138">
        <v>297721</v>
      </c>
      <c r="AF150" s="1138">
        <v>814064</v>
      </c>
      <c r="AG150" s="1138">
        <v>14029</v>
      </c>
      <c r="AH150" s="1138">
        <v>18433</v>
      </c>
      <c r="AI150" s="1138">
        <v>157407</v>
      </c>
      <c r="AJ150" s="1138">
        <v>0</v>
      </c>
      <c r="AK150" s="1138">
        <v>693815</v>
      </c>
      <c r="AL150" s="1138">
        <v>25590</v>
      </c>
      <c r="AM150" s="1138">
        <v>0</v>
      </c>
      <c r="AN150" s="1138">
        <v>1492839</v>
      </c>
      <c r="AO150" s="1138">
        <v>283982</v>
      </c>
      <c r="AP150" s="1138">
        <v>71299</v>
      </c>
      <c r="AQ150" s="1138">
        <v>731863</v>
      </c>
      <c r="AR150" s="1138">
        <v>537121</v>
      </c>
      <c r="AS150" s="1138">
        <v>716720</v>
      </c>
      <c r="AT150" s="1138">
        <v>22368</v>
      </c>
      <c r="AU150" s="1138">
        <v>118705</v>
      </c>
      <c r="AV150" s="1138">
        <v>439672</v>
      </c>
      <c r="AW150" s="1138">
        <v>1418</v>
      </c>
      <c r="AX150" s="1138">
        <v>173934</v>
      </c>
      <c r="AY150" s="1138">
        <v>585367</v>
      </c>
      <c r="AZ150" s="1138">
        <v>737829</v>
      </c>
      <c r="BA150" s="1138">
        <v>265941</v>
      </c>
      <c r="BB150" s="1138">
        <v>28903</v>
      </c>
      <c r="BC150" s="1138">
        <v>0</v>
      </c>
      <c r="BD150" s="1138">
        <v>0</v>
      </c>
      <c r="BE150" s="1138">
        <v>12833</v>
      </c>
      <c r="BF150" s="1138">
        <v>0</v>
      </c>
      <c r="BG150" s="1138">
        <v>73618</v>
      </c>
      <c r="BH150" s="1138">
        <v>18670</v>
      </c>
      <c r="BI150" s="1138">
        <v>0</v>
      </c>
      <c r="BJ150" s="1138">
        <v>143197</v>
      </c>
      <c r="BK150" s="1138">
        <v>0</v>
      </c>
      <c r="BL150" s="1138">
        <v>239721</v>
      </c>
      <c r="BM150" s="1138">
        <v>32700</v>
      </c>
      <c r="BN150" s="1138">
        <v>0</v>
      </c>
      <c r="BO150" s="1138">
        <v>354827</v>
      </c>
      <c r="BP150" s="1138">
        <v>111153</v>
      </c>
      <c r="BQ150" s="1138">
        <v>126546</v>
      </c>
      <c r="BR150" s="1138">
        <v>172763</v>
      </c>
      <c r="BS150" s="1138">
        <v>33020</v>
      </c>
      <c r="BT150" s="1138">
        <v>4968259</v>
      </c>
      <c r="BU150" s="1138">
        <v>92639</v>
      </c>
      <c r="BV150" s="1138">
        <v>188283</v>
      </c>
      <c r="BW150" s="1138">
        <v>34257</v>
      </c>
      <c r="BX150" s="1138">
        <v>56018</v>
      </c>
      <c r="BY150" s="1138">
        <v>19797</v>
      </c>
      <c r="BZ150" s="1138">
        <v>14754</v>
      </c>
      <c r="CA150" s="1138">
        <v>867753</v>
      </c>
      <c r="CB150" s="1138">
        <v>35194</v>
      </c>
    </row>
    <row r="151" spans="1:80" x14ac:dyDescent="0.3">
      <c r="B151" s="1002">
        <v>501</v>
      </c>
      <c r="C151" s="269" t="s">
        <v>185</v>
      </c>
      <c r="D151" s="269" t="s">
        <v>468</v>
      </c>
      <c r="E151" s="1138">
        <v>0</v>
      </c>
      <c r="F151" s="1138">
        <v>0</v>
      </c>
      <c r="G151" s="1138">
        <v>0</v>
      </c>
      <c r="H151" s="1138">
        <v>0</v>
      </c>
      <c r="I151" s="1138">
        <v>0</v>
      </c>
      <c r="J151" s="1138">
        <v>0</v>
      </c>
      <c r="K151" s="1138">
        <v>0</v>
      </c>
      <c r="L151" s="1138">
        <v>0</v>
      </c>
      <c r="M151" s="1138">
        <v>0</v>
      </c>
      <c r="N151" s="1138">
        <v>0</v>
      </c>
      <c r="O151" s="1138">
        <v>0</v>
      </c>
      <c r="P151" s="1138">
        <v>0</v>
      </c>
      <c r="Q151" s="1138">
        <v>0</v>
      </c>
      <c r="R151" s="1138">
        <v>0</v>
      </c>
      <c r="S151" s="1138">
        <v>0</v>
      </c>
      <c r="T151" s="1138">
        <v>0</v>
      </c>
      <c r="U151" s="1138">
        <v>0</v>
      </c>
      <c r="V151" s="1138">
        <v>0</v>
      </c>
      <c r="W151" s="1138">
        <v>0</v>
      </c>
      <c r="X151" s="1138">
        <v>0</v>
      </c>
      <c r="Y151" s="1138">
        <v>0</v>
      </c>
      <c r="Z151" s="1138">
        <v>0</v>
      </c>
      <c r="AA151" s="1138">
        <v>0</v>
      </c>
      <c r="AB151" s="1138">
        <v>0</v>
      </c>
      <c r="AC151" s="1138">
        <v>0</v>
      </c>
      <c r="AD151" s="1138">
        <v>0</v>
      </c>
      <c r="AE151" s="1138">
        <v>0</v>
      </c>
      <c r="AF151" s="1138">
        <v>0</v>
      </c>
      <c r="AG151" s="1138">
        <v>0</v>
      </c>
      <c r="AH151" s="1138">
        <v>0</v>
      </c>
      <c r="AI151" s="1138">
        <v>0</v>
      </c>
      <c r="AJ151" s="1138">
        <v>0</v>
      </c>
      <c r="AK151" s="1138">
        <v>0</v>
      </c>
      <c r="AL151" s="1138">
        <v>0</v>
      </c>
      <c r="AM151" s="1138">
        <v>0</v>
      </c>
      <c r="AN151" s="1138">
        <v>0</v>
      </c>
      <c r="AO151" s="1138">
        <v>0</v>
      </c>
      <c r="AP151" s="1138">
        <v>0</v>
      </c>
      <c r="AQ151" s="1138">
        <v>0</v>
      </c>
      <c r="AR151" s="1138">
        <v>0</v>
      </c>
      <c r="AS151" s="1138">
        <v>0</v>
      </c>
      <c r="AT151" s="1138">
        <v>0</v>
      </c>
      <c r="AU151" s="1138">
        <v>0</v>
      </c>
      <c r="AV151" s="1138">
        <v>0</v>
      </c>
      <c r="AW151" s="1138">
        <v>0</v>
      </c>
      <c r="AX151" s="1138">
        <v>0</v>
      </c>
      <c r="AY151" s="1138">
        <v>0</v>
      </c>
      <c r="AZ151" s="1138">
        <v>0</v>
      </c>
      <c r="BA151" s="1138">
        <v>0</v>
      </c>
      <c r="BB151" s="1138">
        <v>0</v>
      </c>
      <c r="BC151" s="1138">
        <v>0</v>
      </c>
      <c r="BD151" s="1138">
        <v>0</v>
      </c>
      <c r="BE151" s="1138">
        <v>0</v>
      </c>
      <c r="BF151" s="1138">
        <v>0</v>
      </c>
      <c r="BG151" s="1138">
        <v>0</v>
      </c>
      <c r="BH151" s="1138">
        <v>0</v>
      </c>
      <c r="BI151" s="1138">
        <v>0</v>
      </c>
      <c r="BJ151" s="1138">
        <v>0</v>
      </c>
      <c r="BK151" s="1138">
        <v>0</v>
      </c>
      <c r="BL151" s="1138">
        <v>0</v>
      </c>
      <c r="BM151" s="1138">
        <v>0</v>
      </c>
      <c r="BN151" s="1138">
        <v>0</v>
      </c>
      <c r="BO151" s="1138">
        <v>0</v>
      </c>
      <c r="BP151" s="1138">
        <v>0</v>
      </c>
      <c r="BQ151" s="1138">
        <v>0</v>
      </c>
      <c r="BR151" s="1138">
        <v>0</v>
      </c>
      <c r="BS151" s="1138">
        <v>0</v>
      </c>
      <c r="BT151" s="1138">
        <v>0</v>
      </c>
      <c r="BU151" s="1138">
        <v>0</v>
      </c>
      <c r="BV151" s="1138">
        <v>0</v>
      </c>
      <c r="BW151" s="1138">
        <v>0</v>
      </c>
      <c r="BX151" s="1138">
        <v>0</v>
      </c>
      <c r="BY151" s="1138">
        <v>0</v>
      </c>
      <c r="BZ151" s="1138">
        <v>0</v>
      </c>
      <c r="CA151" s="1138">
        <v>0</v>
      </c>
      <c r="CB151" s="1138">
        <v>0</v>
      </c>
    </row>
    <row r="152" spans="1:80" x14ac:dyDescent="0.3">
      <c r="A152" s="269">
        <v>502</v>
      </c>
      <c r="B152" s="1002">
        <v>502</v>
      </c>
      <c r="C152" s="269" t="s">
        <v>186</v>
      </c>
      <c r="D152" s="269" t="s">
        <v>469</v>
      </c>
      <c r="E152" s="1138">
        <v>0</v>
      </c>
      <c r="F152" s="1138">
        <v>4112622</v>
      </c>
      <c r="G152" s="1138">
        <v>0</v>
      </c>
      <c r="H152" s="1138">
        <v>30649774</v>
      </c>
      <c r="I152" s="1138">
        <v>7615573</v>
      </c>
      <c r="J152" s="1138">
        <v>222005</v>
      </c>
      <c r="K152" s="1138">
        <v>5434840</v>
      </c>
      <c r="L152" s="1138">
        <v>595429</v>
      </c>
      <c r="M152" s="1138">
        <v>14734204</v>
      </c>
      <c r="N152" s="1138">
        <v>0</v>
      </c>
      <c r="O152" s="1138">
        <v>1544646</v>
      </c>
      <c r="P152" s="1138">
        <v>877560</v>
      </c>
      <c r="Q152" s="1138">
        <v>930244</v>
      </c>
      <c r="R152" s="1138">
        <v>7838144</v>
      </c>
      <c r="S152" s="1138">
        <v>6391338</v>
      </c>
      <c r="T152" s="1138">
        <v>11998698</v>
      </c>
      <c r="U152" s="1138">
        <v>0</v>
      </c>
      <c r="V152" s="1138">
        <v>30797614</v>
      </c>
      <c r="W152" s="1138">
        <v>0</v>
      </c>
      <c r="X152" s="1138">
        <v>0</v>
      </c>
      <c r="Y152" s="1138">
        <v>75625</v>
      </c>
      <c r="Z152" s="1138">
        <v>2208369</v>
      </c>
      <c r="AA152" s="1138">
        <v>1630395</v>
      </c>
      <c r="AB152" s="1138">
        <v>1196679</v>
      </c>
      <c r="AC152" s="1138">
        <v>0</v>
      </c>
      <c r="AD152" s="1138">
        <v>73177</v>
      </c>
      <c r="AE152" s="1138">
        <v>1473020</v>
      </c>
      <c r="AF152" s="1138">
        <v>659202</v>
      </c>
      <c r="AG152" s="1138">
        <v>57129</v>
      </c>
      <c r="AH152" s="1138">
        <v>0</v>
      </c>
      <c r="AI152" s="1138">
        <v>0</v>
      </c>
      <c r="AJ152" s="1138">
        <v>770422</v>
      </c>
      <c r="AK152" s="1138">
        <v>10174827</v>
      </c>
      <c r="AL152" s="1138">
        <v>362234</v>
      </c>
      <c r="AM152" s="1138">
        <v>0</v>
      </c>
      <c r="AN152" s="1138">
        <v>15250482</v>
      </c>
      <c r="AO152" s="1138">
        <v>7433828</v>
      </c>
      <c r="AP152" s="1138">
        <v>71734</v>
      </c>
      <c r="AQ152" s="1138">
        <v>0</v>
      </c>
      <c r="AR152" s="1138">
        <v>32182486</v>
      </c>
      <c r="AS152" s="1138">
        <v>1146099</v>
      </c>
      <c r="AT152" s="1138">
        <v>225026</v>
      </c>
      <c r="AU152" s="1138">
        <v>1130632</v>
      </c>
      <c r="AV152" s="1138">
        <v>13686902</v>
      </c>
      <c r="AW152" s="1138">
        <v>1007277</v>
      </c>
      <c r="AX152" s="1138">
        <v>188440</v>
      </c>
      <c r="AY152" s="1138">
        <v>951833</v>
      </c>
      <c r="AZ152" s="1138">
        <v>507602</v>
      </c>
      <c r="BA152" s="1138">
        <v>3626366</v>
      </c>
      <c r="BB152" s="1138">
        <v>0</v>
      </c>
      <c r="BC152" s="1138">
        <v>0</v>
      </c>
      <c r="BD152" s="1138">
        <v>0</v>
      </c>
      <c r="BE152" s="1138">
        <v>0</v>
      </c>
      <c r="BF152" s="1138">
        <v>0</v>
      </c>
      <c r="BG152" s="1138">
        <v>269776</v>
      </c>
      <c r="BH152" s="1138">
        <v>0</v>
      </c>
      <c r="BI152" s="1138">
        <v>758411</v>
      </c>
      <c r="BJ152" s="1138">
        <v>1788162</v>
      </c>
      <c r="BK152" s="1138">
        <v>0</v>
      </c>
      <c r="BL152" s="1138">
        <v>6072416</v>
      </c>
      <c r="BM152" s="1138">
        <v>2243145</v>
      </c>
      <c r="BN152" s="1138">
        <v>0</v>
      </c>
      <c r="BO152" s="1138">
        <v>1563515</v>
      </c>
      <c r="BP152" s="1138">
        <v>2526181</v>
      </c>
      <c r="BQ152" s="1138">
        <v>810538</v>
      </c>
      <c r="BR152" s="1138">
        <v>3202694</v>
      </c>
      <c r="BS152" s="1138">
        <v>0</v>
      </c>
      <c r="BT152" s="1138">
        <v>0</v>
      </c>
      <c r="BU152" s="1138">
        <v>984792</v>
      </c>
      <c r="BV152" s="1138">
        <v>1780570</v>
      </c>
      <c r="BW152" s="1138">
        <v>79369</v>
      </c>
      <c r="BX152" s="1138">
        <v>980972</v>
      </c>
      <c r="BY152" s="1138">
        <v>0</v>
      </c>
      <c r="BZ152" s="1138">
        <v>0</v>
      </c>
      <c r="CA152" s="1138">
        <v>8102532</v>
      </c>
      <c r="CB152" s="1138">
        <v>0</v>
      </c>
    </row>
    <row r="153" spans="1:80" x14ac:dyDescent="0.3">
      <c r="A153" s="269">
        <v>503</v>
      </c>
      <c r="B153" s="1002">
        <v>503</v>
      </c>
      <c r="C153" s="269" t="s">
        <v>187</v>
      </c>
      <c r="D153" s="269" t="s">
        <v>470</v>
      </c>
      <c r="E153" s="1138">
        <v>0</v>
      </c>
      <c r="F153" s="1138">
        <v>0</v>
      </c>
      <c r="G153" s="1138">
        <v>0</v>
      </c>
      <c r="H153" s="1138">
        <v>2399472</v>
      </c>
      <c r="I153" s="1138">
        <v>1937332</v>
      </c>
      <c r="J153" s="1138">
        <v>23986</v>
      </c>
      <c r="K153" s="1138">
        <v>69550</v>
      </c>
      <c r="L153" s="1138">
        <v>10659</v>
      </c>
      <c r="M153" s="1138">
        <v>41011268</v>
      </c>
      <c r="N153" s="1138">
        <v>0</v>
      </c>
      <c r="O153" s="1138">
        <v>145040</v>
      </c>
      <c r="P153" s="1138">
        <v>59025</v>
      </c>
      <c r="Q153" s="1138">
        <v>0</v>
      </c>
      <c r="R153" s="1138">
        <v>685240</v>
      </c>
      <c r="S153" s="1138">
        <v>422275</v>
      </c>
      <c r="T153" s="1138">
        <v>578473</v>
      </c>
      <c r="U153" s="1138">
        <v>0</v>
      </c>
      <c r="V153" s="1138">
        <v>1615430</v>
      </c>
      <c r="W153" s="1138">
        <v>0</v>
      </c>
      <c r="X153" s="1138">
        <v>0</v>
      </c>
      <c r="Y153" s="1138">
        <v>0</v>
      </c>
      <c r="Z153" s="1138">
        <v>0</v>
      </c>
      <c r="AA153" s="1138">
        <v>212850</v>
      </c>
      <c r="AB153" s="1138">
        <v>0</v>
      </c>
      <c r="AC153" s="1138">
        <v>0</v>
      </c>
      <c r="AD153" s="1138">
        <v>0</v>
      </c>
      <c r="AE153" s="1138">
        <v>34986</v>
      </c>
      <c r="AF153" s="1138">
        <v>289191</v>
      </c>
      <c r="AG153" s="1138">
        <v>3300</v>
      </c>
      <c r="AH153" s="1138">
        <v>0</v>
      </c>
      <c r="AI153" s="1138">
        <v>0</v>
      </c>
      <c r="AJ153" s="1138">
        <v>3535</v>
      </c>
      <c r="AK153" s="1138">
        <v>851305</v>
      </c>
      <c r="AL153" s="1138">
        <v>14345</v>
      </c>
      <c r="AM153" s="1138">
        <v>0</v>
      </c>
      <c r="AN153" s="1138">
        <v>1009705</v>
      </c>
      <c r="AO153" s="1138">
        <v>6141591</v>
      </c>
      <c r="AP153" s="1138">
        <v>10650</v>
      </c>
      <c r="AQ153" s="1138">
        <v>0</v>
      </c>
      <c r="AR153" s="1138">
        <v>838201</v>
      </c>
      <c r="AS153" s="1138">
        <v>45160</v>
      </c>
      <c r="AT153" s="1138">
        <v>22049</v>
      </c>
      <c r="AU153" s="1138">
        <v>135492</v>
      </c>
      <c r="AV153" s="1138">
        <v>389494</v>
      </c>
      <c r="AW153" s="1138">
        <v>44900</v>
      </c>
      <c r="AX153" s="1138">
        <v>19449</v>
      </c>
      <c r="AY153" s="1138">
        <v>89001</v>
      </c>
      <c r="AZ153" s="1138">
        <v>68198</v>
      </c>
      <c r="BA153" s="1138">
        <v>478051</v>
      </c>
      <c r="BB153" s="1138">
        <v>0</v>
      </c>
      <c r="BC153" s="1138">
        <v>0</v>
      </c>
      <c r="BD153" s="1138">
        <v>0</v>
      </c>
      <c r="BE153" s="1138">
        <v>0</v>
      </c>
      <c r="BF153" s="1138">
        <v>0</v>
      </c>
      <c r="BG153" s="1138">
        <v>41298</v>
      </c>
      <c r="BH153" s="1138">
        <v>0</v>
      </c>
      <c r="BI153" s="1138">
        <v>0</v>
      </c>
      <c r="BJ153" s="1138">
        <v>0</v>
      </c>
      <c r="BK153" s="1138">
        <v>0</v>
      </c>
      <c r="BL153" s="1138">
        <v>156535</v>
      </c>
      <c r="BM153" s="1138">
        <v>176272</v>
      </c>
      <c r="BN153" s="1138">
        <v>0</v>
      </c>
      <c r="BO153" s="1138">
        <v>241721</v>
      </c>
      <c r="BP153" s="1138">
        <v>96649</v>
      </c>
      <c r="BQ153" s="1138">
        <v>41309</v>
      </c>
      <c r="BR153" s="1138">
        <v>64038</v>
      </c>
      <c r="BS153" s="1138">
        <v>0</v>
      </c>
      <c r="BT153" s="1138">
        <v>0</v>
      </c>
      <c r="BU153" s="1138">
        <v>0</v>
      </c>
      <c r="BV153" s="1138">
        <v>158123</v>
      </c>
      <c r="BW153" s="1138">
        <v>40204</v>
      </c>
      <c r="BX153" s="1138">
        <v>24793</v>
      </c>
      <c r="BY153" s="1138">
        <v>0</v>
      </c>
      <c r="BZ153" s="1138">
        <v>0</v>
      </c>
      <c r="CA153" s="1138">
        <v>1132304</v>
      </c>
      <c r="CB153" s="1138">
        <v>0</v>
      </c>
    </row>
    <row r="154" spans="1:80" x14ac:dyDescent="0.3">
      <c r="A154" s="269">
        <v>504</v>
      </c>
      <c r="B154" s="1002">
        <v>504</v>
      </c>
      <c r="C154" s="269" t="s">
        <v>191</v>
      </c>
      <c r="D154" s="269" t="s">
        <v>471</v>
      </c>
      <c r="E154" s="1138">
        <v>141869</v>
      </c>
      <c r="F154" s="1138">
        <v>1431023</v>
      </c>
      <c r="G154" s="1138">
        <v>0</v>
      </c>
      <c r="H154" s="1138">
        <v>11104953</v>
      </c>
      <c r="I154" s="1138">
        <v>219584</v>
      </c>
      <c r="J154" s="1138">
        <v>18039</v>
      </c>
      <c r="K154" s="1138">
        <v>53771</v>
      </c>
      <c r="L154" s="1138">
        <v>86609</v>
      </c>
      <c r="M154" s="1138">
        <v>3794246</v>
      </c>
      <c r="N154" s="1138">
        <v>8239</v>
      </c>
      <c r="O154" s="1138">
        <v>33283</v>
      </c>
      <c r="P154" s="1138">
        <v>134791</v>
      </c>
      <c r="Q154" s="1138">
        <v>2282677</v>
      </c>
      <c r="R154" s="1138">
        <v>39995</v>
      </c>
      <c r="S154" s="1138">
        <v>1298883</v>
      </c>
      <c r="T154" s="1138">
        <v>1496707</v>
      </c>
      <c r="U154" s="1138">
        <v>0</v>
      </c>
      <c r="V154" s="1138">
        <v>865853</v>
      </c>
      <c r="W154" s="1138">
        <v>6337</v>
      </c>
      <c r="X154" s="1138">
        <v>238353</v>
      </c>
      <c r="Y154" s="1138">
        <v>272786</v>
      </c>
      <c r="Z154" s="1138">
        <v>319534</v>
      </c>
      <c r="AA154" s="1138">
        <v>279192</v>
      </c>
      <c r="AB154" s="1138">
        <v>150828</v>
      </c>
      <c r="AC154" s="1138">
        <v>100170</v>
      </c>
      <c r="AD154" s="1138">
        <v>0</v>
      </c>
      <c r="AE154" s="1138">
        <v>386229</v>
      </c>
      <c r="AF154" s="1138">
        <v>260928</v>
      </c>
      <c r="AG154" s="1138">
        <v>42768</v>
      </c>
      <c r="AH154" s="1138">
        <v>3851</v>
      </c>
      <c r="AI154" s="1138">
        <v>25834</v>
      </c>
      <c r="AJ154" s="1138">
        <v>102140</v>
      </c>
      <c r="AK154" s="1138">
        <v>456912</v>
      </c>
      <c r="AL154" s="1138">
        <v>91980</v>
      </c>
      <c r="AM154" s="1138">
        <v>0</v>
      </c>
      <c r="AN154" s="1138">
        <v>2397258</v>
      </c>
      <c r="AO154" s="1138">
        <v>844285</v>
      </c>
      <c r="AP154" s="1138">
        <v>201437</v>
      </c>
      <c r="AQ154" s="1138">
        <v>358916</v>
      </c>
      <c r="AR154" s="1138">
        <v>2306497</v>
      </c>
      <c r="AS154" s="1138">
        <v>273909</v>
      </c>
      <c r="AT154" s="1138">
        <v>23736</v>
      </c>
      <c r="AU154" s="1138">
        <v>178081</v>
      </c>
      <c r="AV154" s="1138">
        <v>592248</v>
      </c>
      <c r="AW154" s="1138">
        <v>4964</v>
      </c>
      <c r="AX154" s="1138">
        <v>23642</v>
      </c>
      <c r="AY154" s="1138">
        <v>145358</v>
      </c>
      <c r="AZ154" s="1138">
        <v>201358</v>
      </c>
      <c r="BA154" s="1138">
        <v>522741</v>
      </c>
      <c r="BB154" s="1138">
        <v>14663</v>
      </c>
      <c r="BC154" s="1138">
        <v>0</v>
      </c>
      <c r="BD154" s="1138">
        <v>0</v>
      </c>
      <c r="BE154" s="1138">
        <v>3920</v>
      </c>
      <c r="BF154" s="1138">
        <v>0</v>
      </c>
      <c r="BG154" s="1138">
        <v>14171</v>
      </c>
      <c r="BH154" s="1138">
        <v>5226</v>
      </c>
      <c r="BI154" s="1138">
        <v>176165</v>
      </c>
      <c r="BJ154" s="1138">
        <v>132706</v>
      </c>
      <c r="BK154" s="1138">
        <v>0</v>
      </c>
      <c r="BL154" s="1138">
        <v>393132</v>
      </c>
      <c r="BM154" s="1138">
        <v>121997</v>
      </c>
      <c r="BN154" s="1138">
        <v>0</v>
      </c>
      <c r="BO154" s="1138">
        <v>368150</v>
      </c>
      <c r="BP154" s="1138">
        <v>69934</v>
      </c>
      <c r="BQ154" s="1138">
        <v>22732</v>
      </c>
      <c r="BR154" s="1138">
        <v>68784</v>
      </c>
      <c r="BS154" s="1138">
        <v>0</v>
      </c>
      <c r="BT154" s="1138">
        <v>1379172</v>
      </c>
      <c r="BU154" s="1138">
        <v>454053</v>
      </c>
      <c r="BV154" s="1138">
        <v>184928</v>
      </c>
      <c r="BW154" s="1138">
        <v>70931</v>
      </c>
      <c r="BX154" s="1138">
        <v>17636</v>
      </c>
      <c r="BY154" s="1138">
        <v>3712</v>
      </c>
      <c r="BZ154" s="1138">
        <v>4500</v>
      </c>
      <c r="CA154" s="1138">
        <v>742312</v>
      </c>
      <c r="CB154" s="1138">
        <v>56378</v>
      </c>
    </row>
    <row r="155" spans="1:80" x14ac:dyDescent="0.3">
      <c r="A155" s="269">
        <v>505</v>
      </c>
      <c r="B155" s="1002">
        <v>505</v>
      </c>
      <c r="C155" s="269" t="s">
        <v>192</v>
      </c>
      <c r="D155" s="269" t="s">
        <v>472</v>
      </c>
      <c r="E155" s="1138">
        <v>6220372</v>
      </c>
      <c r="F155" s="1138">
        <v>949760</v>
      </c>
      <c r="G155" s="1138">
        <v>0</v>
      </c>
      <c r="H155" s="1138">
        <v>2030845</v>
      </c>
      <c r="I155" s="1138">
        <v>76008</v>
      </c>
      <c r="J155" s="1138">
        <v>0</v>
      </c>
      <c r="K155" s="1138">
        <v>0</v>
      </c>
      <c r="L155" s="1138">
        <v>593423</v>
      </c>
      <c r="M155" s="1138">
        <v>5580806</v>
      </c>
      <c r="N155" s="1138">
        <v>0</v>
      </c>
      <c r="O155" s="1138">
        <v>0</v>
      </c>
      <c r="P155" s="1138">
        <v>0</v>
      </c>
      <c r="Q155" s="1138">
        <v>277085</v>
      </c>
      <c r="R155" s="1138">
        <v>919424</v>
      </c>
      <c r="S155" s="1138">
        <v>12863</v>
      </c>
      <c r="T155" s="1138">
        <v>0</v>
      </c>
      <c r="U155" s="1138">
        <v>0</v>
      </c>
      <c r="V155" s="1138">
        <v>0</v>
      </c>
      <c r="W155" s="1138">
        <v>0</v>
      </c>
      <c r="X155" s="1138">
        <v>1343216</v>
      </c>
      <c r="Y155" s="1138">
        <v>8586829</v>
      </c>
      <c r="Z155" s="1138">
        <v>0</v>
      </c>
      <c r="AA155" s="1138">
        <v>0</v>
      </c>
      <c r="AB155" s="1138">
        <v>211932</v>
      </c>
      <c r="AC155" s="1138">
        <v>0</v>
      </c>
      <c r="AD155" s="1138">
        <v>8470</v>
      </c>
      <c r="AE155" s="1138">
        <v>0</v>
      </c>
      <c r="AF155" s="1138">
        <v>43265</v>
      </c>
      <c r="AG155" s="1138">
        <v>0</v>
      </c>
      <c r="AH155" s="1138">
        <v>0</v>
      </c>
      <c r="AI155" s="1138">
        <v>0</v>
      </c>
      <c r="AJ155" s="1138">
        <v>20290</v>
      </c>
      <c r="AK155" s="1138">
        <v>0</v>
      </c>
      <c r="AL155" s="1138">
        <v>100000</v>
      </c>
      <c r="AM155" s="1138">
        <v>0</v>
      </c>
      <c r="AN155" s="1138">
        <v>603361</v>
      </c>
      <c r="AO155" s="1138">
        <v>162485</v>
      </c>
      <c r="AP155" s="1138">
        <v>0</v>
      </c>
      <c r="AQ155" s="1138">
        <v>779431</v>
      </c>
      <c r="AR155" s="1138">
        <v>405590</v>
      </c>
      <c r="AS155" s="1138">
        <v>4909</v>
      </c>
      <c r="AT155" s="1138">
        <v>41268</v>
      </c>
      <c r="AU155" s="1138">
        <v>275000</v>
      </c>
      <c r="AV155" s="1138">
        <v>646462</v>
      </c>
      <c r="AW155" s="1138">
        <v>205801</v>
      </c>
      <c r="AX155" s="1138">
        <v>0</v>
      </c>
      <c r="AY155" s="1138">
        <v>0</v>
      </c>
      <c r="AZ155" s="1138">
        <v>0</v>
      </c>
      <c r="BA155" s="1138">
        <v>348652</v>
      </c>
      <c r="BB155" s="1138">
        <v>0</v>
      </c>
      <c r="BC155" s="1138">
        <v>0</v>
      </c>
      <c r="BD155" s="1138">
        <v>0</v>
      </c>
      <c r="BE155" s="1138">
        <v>0</v>
      </c>
      <c r="BF155" s="1138">
        <v>0</v>
      </c>
      <c r="BG155" s="1138">
        <v>0</v>
      </c>
      <c r="BH155" s="1138">
        <v>0</v>
      </c>
      <c r="BI155" s="1138">
        <v>0</v>
      </c>
      <c r="BJ155" s="1138">
        <v>0</v>
      </c>
      <c r="BK155" s="1138">
        <v>0</v>
      </c>
      <c r="BL155" s="1138">
        <v>0</v>
      </c>
      <c r="BM155" s="1138">
        <v>34189</v>
      </c>
      <c r="BN155" s="1138">
        <v>0</v>
      </c>
      <c r="BO155" s="1138">
        <v>1288538</v>
      </c>
      <c r="BP155" s="1138">
        <v>657326</v>
      </c>
      <c r="BQ155" s="1138">
        <v>0</v>
      </c>
      <c r="BR155" s="1138">
        <v>0</v>
      </c>
      <c r="BS155" s="1138">
        <v>0</v>
      </c>
      <c r="BT155" s="1138">
        <v>117158</v>
      </c>
      <c r="BU155" s="1138">
        <v>0</v>
      </c>
      <c r="BV155" s="1138">
        <v>30000</v>
      </c>
      <c r="BW155" s="1138">
        <v>1017478</v>
      </c>
      <c r="BX155" s="1138">
        <v>1697524</v>
      </c>
      <c r="BY155" s="1138">
        <v>0</v>
      </c>
      <c r="BZ155" s="1138">
        <v>0</v>
      </c>
      <c r="CA155" s="1138">
        <v>2617102</v>
      </c>
      <c r="CB155" s="1138">
        <v>0</v>
      </c>
    </row>
    <row r="156" spans="1:80" x14ac:dyDescent="0.3">
      <c r="A156" s="269">
        <v>506</v>
      </c>
      <c r="B156" s="1002">
        <v>506</v>
      </c>
      <c r="C156" s="269" t="s">
        <v>198</v>
      </c>
      <c r="D156" s="269" t="s">
        <v>473</v>
      </c>
      <c r="E156" s="1138">
        <v>235624</v>
      </c>
      <c r="F156" s="1138">
        <v>18342987</v>
      </c>
      <c r="G156" s="1138">
        <v>0</v>
      </c>
      <c r="H156" s="1138">
        <v>27459307</v>
      </c>
      <c r="I156" s="1138">
        <v>3901017</v>
      </c>
      <c r="J156" s="1138">
        <v>402452</v>
      </c>
      <c r="K156" s="1138">
        <v>2624602</v>
      </c>
      <c r="L156" s="1138">
        <v>820632</v>
      </c>
      <c r="M156" s="1138">
        <v>13360537</v>
      </c>
      <c r="N156" s="1138">
        <v>203487</v>
      </c>
      <c r="O156" s="1138">
        <v>455762</v>
      </c>
      <c r="P156" s="1138">
        <v>446290</v>
      </c>
      <c r="Q156" s="1138">
        <v>13537137</v>
      </c>
      <c r="R156" s="1138">
        <v>13793300</v>
      </c>
      <c r="S156" s="1138">
        <v>2692150</v>
      </c>
      <c r="T156" s="1138">
        <v>7980349</v>
      </c>
      <c r="U156" s="1138">
        <v>0</v>
      </c>
      <c r="V156" s="1138">
        <v>6594231</v>
      </c>
      <c r="W156" s="1138">
        <v>167688</v>
      </c>
      <c r="X156" s="1138">
        <v>8271871</v>
      </c>
      <c r="Y156" s="1138">
        <v>6768881</v>
      </c>
      <c r="Z156" s="1138">
        <v>3993669</v>
      </c>
      <c r="AA156" s="1138">
        <v>1587577</v>
      </c>
      <c r="AB156" s="1138">
        <v>2618238</v>
      </c>
      <c r="AC156" s="1138">
        <v>1019523</v>
      </c>
      <c r="AD156" s="1138">
        <v>230847</v>
      </c>
      <c r="AE156" s="1138">
        <v>1002200</v>
      </c>
      <c r="AF156" s="1138">
        <v>423677</v>
      </c>
      <c r="AG156" s="1138">
        <v>131506</v>
      </c>
      <c r="AH156" s="1138">
        <v>62627</v>
      </c>
      <c r="AI156" s="1138">
        <v>141351</v>
      </c>
      <c r="AJ156" s="1138">
        <v>1653810</v>
      </c>
      <c r="AK156" s="1138">
        <v>2453889</v>
      </c>
      <c r="AL156" s="1138">
        <v>225247</v>
      </c>
      <c r="AM156" s="1138">
        <v>112065</v>
      </c>
      <c r="AN156" s="1138">
        <v>9262632</v>
      </c>
      <c r="AO156" s="1138">
        <v>10434622</v>
      </c>
      <c r="AP156" s="1138">
        <v>504156</v>
      </c>
      <c r="AQ156" s="1138">
        <v>6677591</v>
      </c>
      <c r="AR156" s="1138">
        <v>10468861</v>
      </c>
      <c r="AS156" s="1138">
        <v>2451039</v>
      </c>
      <c r="AT156" s="1138">
        <v>369524</v>
      </c>
      <c r="AU156" s="1138">
        <v>2330243</v>
      </c>
      <c r="AV156" s="1138">
        <v>5085737</v>
      </c>
      <c r="AW156" s="1138">
        <v>153356</v>
      </c>
      <c r="AX156" s="1138">
        <v>194653</v>
      </c>
      <c r="AY156" s="1138">
        <v>2669277</v>
      </c>
      <c r="AZ156" s="1138">
        <v>1715339</v>
      </c>
      <c r="BA156" s="1138">
        <v>1527944</v>
      </c>
      <c r="BB156" s="1138">
        <v>57538</v>
      </c>
      <c r="BC156" s="1138">
        <v>0</v>
      </c>
      <c r="BD156" s="1138">
        <v>0</v>
      </c>
      <c r="BE156" s="1138">
        <v>363569</v>
      </c>
      <c r="BF156" s="1138">
        <v>0</v>
      </c>
      <c r="BG156" s="1138">
        <v>415422</v>
      </c>
      <c r="BH156" s="1138">
        <v>137107</v>
      </c>
      <c r="BI156" s="1138">
        <v>2536122</v>
      </c>
      <c r="BJ156" s="1138">
        <v>3020604</v>
      </c>
      <c r="BK156" s="1138">
        <v>0</v>
      </c>
      <c r="BL156" s="1138">
        <v>2233047</v>
      </c>
      <c r="BM156" s="1138">
        <v>5533850</v>
      </c>
      <c r="BN156" s="1138">
        <v>125766</v>
      </c>
      <c r="BO156" s="1138">
        <v>2555804</v>
      </c>
      <c r="BP156" s="1138">
        <v>3047474</v>
      </c>
      <c r="BQ156" s="1138">
        <v>1472991</v>
      </c>
      <c r="BR156" s="1138">
        <v>1182647</v>
      </c>
      <c r="BS156" s="1138">
        <v>1597799</v>
      </c>
      <c r="BT156" s="1138">
        <v>10778226</v>
      </c>
      <c r="BU156" s="1138">
        <v>1830919</v>
      </c>
      <c r="BV156" s="1138">
        <v>1119572</v>
      </c>
      <c r="BW156" s="1138">
        <v>954348</v>
      </c>
      <c r="BX156" s="1138">
        <v>935465</v>
      </c>
      <c r="BY156" s="1138">
        <v>156637</v>
      </c>
      <c r="BZ156" s="1138">
        <v>189360</v>
      </c>
      <c r="CA156" s="1138">
        <v>11573316</v>
      </c>
      <c r="CB156" s="1138">
        <v>125756</v>
      </c>
    </row>
    <row r="157" spans="1:80" x14ac:dyDescent="0.3">
      <c r="A157" s="269">
        <v>507</v>
      </c>
      <c r="B157" s="1002">
        <v>507</v>
      </c>
      <c r="C157" s="269" t="s">
        <v>216</v>
      </c>
      <c r="D157" s="269" t="s">
        <v>474</v>
      </c>
      <c r="E157" s="1138">
        <v>0</v>
      </c>
      <c r="F157" s="1138">
        <v>0</v>
      </c>
      <c r="G157" s="1138">
        <v>0</v>
      </c>
      <c r="H157" s="1138">
        <v>0</v>
      </c>
      <c r="I157" s="1138">
        <v>1534</v>
      </c>
      <c r="J157" s="1138">
        <v>0</v>
      </c>
      <c r="K157" s="1138">
        <v>0</v>
      </c>
      <c r="L157" s="1138">
        <v>0</v>
      </c>
      <c r="M157" s="1138">
        <v>0</v>
      </c>
      <c r="N157" s="1138">
        <v>0</v>
      </c>
      <c r="O157" s="1138">
        <v>0</v>
      </c>
      <c r="P157" s="1138">
        <v>0</v>
      </c>
      <c r="Q157" s="1138">
        <v>0</v>
      </c>
      <c r="R157" s="1138">
        <v>0</v>
      </c>
      <c r="S157" s="1138">
        <v>0</v>
      </c>
      <c r="T157" s="1138">
        <v>0</v>
      </c>
      <c r="U157" s="1138">
        <v>0</v>
      </c>
      <c r="V157" s="1138">
        <v>0</v>
      </c>
      <c r="W157" s="1138">
        <v>0</v>
      </c>
      <c r="X157" s="1138">
        <v>0</v>
      </c>
      <c r="Y157" s="1138">
        <v>0</v>
      </c>
      <c r="Z157" s="1138">
        <v>0</v>
      </c>
      <c r="AA157" s="1138">
        <v>16449</v>
      </c>
      <c r="AB157" s="1138">
        <v>0</v>
      </c>
      <c r="AC157" s="1138">
        <v>0</v>
      </c>
      <c r="AD157" s="1138">
        <v>0</v>
      </c>
      <c r="AE157" s="1138">
        <v>0</v>
      </c>
      <c r="AF157" s="1138">
        <v>1</v>
      </c>
      <c r="AG157" s="1138">
        <v>1</v>
      </c>
      <c r="AH157" s="1138">
        <v>0</v>
      </c>
      <c r="AI157" s="1138">
        <v>0</v>
      </c>
      <c r="AJ157" s="1138">
        <v>0</v>
      </c>
      <c r="AK157" s="1138">
        <v>0</v>
      </c>
      <c r="AL157" s="1138">
        <v>0</v>
      </c>
      <c r="AM157" s="1138">
        <v>0</v>
      </c>
      <c r="AN157" s="1138">
        <v>-241266</v>
      </c>
      <c r="AO157" s="1138">
        <v>0</v>
      </c>
      <c r="AP157" s="1138">
        <v>0</v>
      </c>
      <c r="AQ157" s="1138">
        <v>0</v>
      </c>
      <c r="AR157" s="1138">
        <v>0</v>
      </c>
      <c r="AS157" s="1138">
        <v>0</v>
      </c>
      <c r="AT157" s="1138">
        <v>0</v>
      </c>
      <c r="AU157" s="1138">
        <v>0</v>
      </c>
      <c r="AV157" s="1138">
        <v>-3798</v>
      </c>
      <c r="AW157" s="1138">
        <v>0</v>
      </c>
      <c r="AX157" s="1138">
        <v>0</v>
      </c>
      <c r="AY157" s="1138">
        <v>-81732</v>
      </c>
      <c r="AZ157" s="1138">
        <v>1</v>
      </c>
      <c r="BA157" s="1138">
        <v>0</v>
      </c>
      <c r="BB157" s="1138">
        <v>-1</v>
      </c>
      <c r="BC157" s="1138">
        <v>0</v>
      </c>
      <c r="BD157" s="1138">
        <v>0</v>
      </c>
      <c r="BE157" s="1138">
        <v>0</v>
      </c>
      <c r="BF157" s="1138">
        <v>0</v>
      </c>
      <c r="BG157" s="1138">
        <v>0</v>
      </c>
      <c r="BH157" s="1138">
        <v>0</v>
      </c>
      <c r="BI157" s="1138">
        <v>0</v>
      </c>
      <c r="BJ157" s="1138">
        <v>0</v>
      </c>
      <c r="BK157" s="1138">
        <v>0</v>
      </c>
      <c r="BL157" s="1138">
        <v>0</v>
      </c>
      <c r="BM157" s="1138">
        <v>0</v>
      </c>
      <c r="BN157" s="1138">
        <v>0</v>
      </c>
      <c r="BO157" s="1138">
        <v>0</v>
      </c>
      <c r="BP157" s="1138">
        <v>0</v>
      </c>
      <c r="BQ157" s="1138">
        <v>0</v>
      </c>
      <c r="BR157" s="1138">
        <v>1</v>
      </c>
      <c r="BS157" s="1138">
        <v>0</v>
      </c>
      <c r="BT157" s="1138">
        <v>0</v>
      </c>
      <c r="BU157" s="1138">
        <v>0</v>
      </c>
      <c r="BV157" s="1138">
        <v>0</v>
      </c>
      <c r="BW157" s="1138">
        <v>0</v>
      </c>
      <c r="BX157" s="1138">
        <v>0</v>
      </c>
      <c r="BY157" s="1138">
        <v>0</v>
      </c>
      <c r="BZ157" s="1138">
        <v>0</v>
      </c>
      <c r="CA157" s="1138">
        <v>0</v>
      </c>
      <c r="CB157" s="1138">
        <v>0</v>
      </c>
    </row>
    <row r="158" spans="1:80" x14ac:dyDescent="0.3">
      <c r="A158" s="269">
        <v>508</v>
      </c>
      <c r="B158" s="1002">
        <v>508</v>
      </c>
      <c r="C158" s="269" t="s">
        <v>213</v>
      </c>
      <c r="D158" s="269" t="s">
        <v>475</v>
      </c>
      <c r="E158" s="1138">
        <v>0</v>
      </c>
      <c r="F158" s="1138">
        <v>0</v>
      </c>
      <c r="G158" s="1138">
        <v>0</v>
      </c>
      <c r="H158" s="1138">
        <v>0</v>
      </c>
      <c r="I158" s="1138">
        <v>0</v>
      </c>
      <c r="J158" s="1138">
        <v>0</v>
      </c>
      <c r="K158" s="1138">
        <v>0</v>
      </c>
      <c r="L158" s="1138">
        <v>0</v>
      </c>
      <c r="M158" s="1138">
        <v>0</v>
      </c>
      <c r="N158" s="1138">
        <v>0</v>
      </c>
      <c r="O158" s="1138">
        <v>0</v>
      </c>
      <c r="P158" s="1138">
        <v>0</v>
      </c>
      <c r="Q158" s="1138">
        <v>0</v>
      </c>
      <c r="R158" s="1138">
        <v>0</v>
      </c>
      <c r="S158" s="1138">
        <v>0</v>
      </c>
      <c r="T158" s="1138">
        <v>0</v>
      </c>
      <c r="U158" s="1138">
        <v>0</v>
      </c>
      <c r="V158" s="1138">
        <v>0</v>
      </c>
      <c r="W158" s="1138">
        <v>0</v>
      </c>
      <c r="X158" s="1138">
        <v>0</v>
      </c>
      <c r="Y158" s="1138">
        <v>0</v>
      </c>
      <c r="Z158" s="1138">
        <v>0</v>
      </c>
      <c r="AA158" s="1138">
        <v>0</v>
      </c>
      <c r="AB158" s="1138">
        <v>0</v>
      </c>
      <c r="AC158" s="1138">
        <v>0</v>
      </c>
      <c r="AD158" s="1138">
        <v>0</v>
      </c>
      <c r="AE158" s="1138">
        <v>0</v>
      </c>
      <c r="AF158" s="1138">
        <v>0</v>
      </c>
      <c r="AG158" s="1138">
        <v>0</v>
      </c>
      <c r="AH158" s="1138">
        <v>0</v>
      </c>
      <c r="AI158" s="1138">
        <v>0</v>
      </c>
      <c r="AJ158" s="1138">
        <v>0</v>
      </c>
      <c r="AK158" s="1138">
        <v>0</v>
      </c>
      <c r="AL158" s="1138">
        <v>0</v>
      </c>
      <c r="AM158" s="1138">
        <v>0</v>
      </c>
      <c r="AN158" s="1138">
        <v>0</v>
      </c>
      <c r="AO158" s="1138">
        <v>0</v>
      </c>
      <c r="AP158" s="1138">
        <v>0</v>
      </c>
      <c r="AQ158" s="1138">
        <v>0</v>
      </c>
      <c r="AR158" s="1138">
        <v>0</v>
      </c>
      <c r="AS158" s="1138">
        <v>0</v>
      </c>
      <c r="AT158" s="1138">
        <v>0</v>
      </c>
      <c r="AU158" s="1138">
        <v>0</v>
      </c>
      <c r="AV158" s="1138">
        <v>0</v>
      </c>
      <c r="AW158" s="1138">
        <v>0</v>
      </c>
      <c r="AX158" s="1138">
        <v>0</v>
      </c>
      <c r="AY158" s="1138">
        <v>0</v>
      </c>
      <c r="AZ158" s="1138">
        <v>0</v>
      </c>
      <c r="BA158" s="1138">
        <v>0</v>
      </c>
      <c r="BB158" s="1138">
        <v>0</v>
      </c>
      <c r="BC158" s="1138">
        <v>0</v>
      </c>
      <c r="BD158" s="1138">
        <v>0</v>
      </c>
      <c r="BE158" s="1138">
        <v>0</v>
      </c>
      <c r="BF158" s="1138">
        <v>0</v>
      </c>
      <c r="BG158" s="1138">
        <v>0</v>
      </c>
      <c r="BH158" s="1138">
        <v>0</v>
      </c>
      <c r="BI158" s="1138">
        <v>0</v>
      </c>
      <c r="BJ158" s="1138">
        <v>0</v>
      </c>
      <c r="BK158" s="1138">
        <v>0</v>
      </c>
      <c r="BL158" s="1138">
        <v>0</v>
      </c>
      <c r="BM158" s="1138">
        <v>0</v>
      </c>
      <c r="BN158" s="1138">
        <v>0</v>
      </c>
      <c r="BO158" s="1138">
        <v>0</v>
      </c>
      <c r="BP158" s="1138">
        <v>0</v>
      </c>
      <c r="BQ158" s="1138">
        <v>0</v>
      </c>
      <c r="BR158" s="1138">
        <v>0</v>
      </c>
      <c r="BS158" s="1138">
        <v>0</v>
      </c>
      <c r="BT158" s="1138">
        <v>0</v>
      </c>
      <c r="BU158" s="1138">
        <v>0</v>
      </c>
      <c r="BV158" s="1138">
        <v>0</v>
      </c>
      <c r="BW158" s="1138">
        <v>0</v>
      </c>
      <c r="BX158" s="1138">
        <v>0</v>
      </c>
      <c r="BY158" s="1138">
        <v>0</v>
      </c>
      <c r="BZ158" s="1138">
        <v>0</v>
      </c>
      <c r="CA158" s="1138">
        <v>0</v>
      </c>
      <c r="CB158" s="1138">
        <v>0</v>
      </c>
    </row>
    <row r="159" spans="1:80" x14ac:dyDescent="0.3">
      <c r="A159" s="269">
        <v>509</v>
      </c>
      <c r="B159" s="1002">
        <v>509</v>
      </c>
      <c r="C159" s="269" t="s">
        <v>214</v>
      </c>
      <c r="D159" s="269" t="s">
        <v>476</v>
      </c>
      <c r="E159" s="1138">
        <v>0</v>
      </c>
      <c r="F159" s="1138">
        <v>0</v>
      </c>
      <c r="G159" s="1138">
        <v>0</v>
      </c>
      <c r="H159" s="1138">
        <v>0</v>
      </c>
      <c r="I159" s="1138">
        <v>0</v>
      </c>
      <c r="J159" s="1138">
        <v>0</v>
      </c>
      <c r="K159" s="1138">
        <v>0</v>
      </c>
      <c r="L159" s="1138">
        <v>0</v>
      </c>
      <c r="M159" s="1138">
        <v>0</v>
      </c>
      <c r="N159" s="1138">
        <v>0</v>
      </c>
      <c r="O159" s="1138">
        <v>0</v>
      </c>
      <c r="P159" s="1138">
        <v>0</v>
      </c>
      <c r="Q159" s="1138">
        <v>0</v>
      </c>
      <c r="R159" s="1138">
        <v>0</v>
      </c>
      <c r="S159" s="1138">
        <v>0</v>
      </c>
      <c r="T159" s="1138">
        <v>0</v>
      </c>
      <c r="U159" s="1138">
        <v>0</v>
      </c>
      <c r="V159" s="1138">
        <v>0</v>
      </c>
      <c r="W159" s="1138">
        <v>0</v>
      </c>
      <c r="X159" s="1138">
        <v>0</v>
      </c>
      <c r="Y159" s="1138">
        <v>0</v>
      </c>
      <c r="Z159" s="1138">
        <v>0</v>
      </c>
      <c r="AA159" s="1138">
        <v>0</v>
      </c>
      <c r="AB159" s="1138">
        <v>0</v>
      </c>
      <c r="AC159" s="1138">
        <v>0</v>
      </c>
      <c r="AD159" s="1138">
        <v>0</v>
      </c>
      <c r="AE159" s="1138">
        <v>0</v>
      </c>
      <c r="AF159" s="1138">
        <v>0</v>
      </c>
      <c r="AG159" s="1138">
        <v>0</v>
      </c>
      <c r="AH159" s="1138">
        <v>0</v>
      </c>
      <c r="AI159" s="1138">
        <v>0</v>
      </c>
      <c r="AJ159" s="1138">
        <v>0</v>
      </c>
      <c r="AK159" s="1138">
        <v>0</v>
      </c>
      <c r="AL159" s="1138">
        <v>0</v>
      </c>
      <c r="AM159" s="1138">
        <v>0</v>
      </c>
      <c r="AN159" s="1138">
        <v>0</v>
      </c>
      <c r="AO159" s="1138">
        <v>0</v>
      </c>
      <c r="AP159" s="1138">
        <v>0</v>
      </c>
      <c r="AQ159" s="1138">
        <v>0</v>
      </c>
      <c r="AR159" s="1138">
        <v>0</v>
      </c>
      <c r="AS159" s="1138">
        <v>0</v>
      </c>
      <c r="AT159" s="1138">
        <v>0</v>
      </c>
      <c r="AU159" s="1138">
        <v>0</v>
      </c>
      <c r="AV159" s="1138">
        <v>0</v>
      </c>
      <c r="AW159" s="1138">
        <v>0</v>
      </c>
      <c r="AX159" s="1138">
        <v>0</v>
      </c>
      <c r="AY159" s="1138">
        <v>0</v>
      </c>
      <c r="AZ159" s="1138">
        <v>0</v>
      </c>
      <c r="BA159" s="1138">
        <v>0</v>
      </c>
      <c r="BB159" s="1138">
        <v>0</v>
      </c>
      <c r="BC159" s="1138">
        <v>0</v>
      </c>
      <c r="BD159" s="1138">
        <v>0</v>
      </c>
      <c r="BE159" s="1138">
        <v>0</v>
      </c>
      <c r="BF159" s="1138">
        <v>0</v>
      </c>
      <c r="BG159" s="1138">
        <v>0</v>
      </c>
      <c r="BH159" s="1138">
        <v>0</v>
      </c>
      <c r="BI159" s="1138">
        <v>0</v>
      </c>
      <c r="BJ159" s="1138">
        <v>0</v>
      </c>
      <c r="BK159" s="1138">
        <v>0</v>
      </c>
      <c r="BL159" s="1138">
        <v>0</v>
      </c>
      <c r="BM159" s="1138">
        <v>0</v>
      </c>
      <c r="BN159" s="1138">
        <v>0</v>
      </c>
      <c r="BO159" s="1138">
        <v>0</v>
      </c>
      <c r="BP159" s="1138">
        <v>0</v>
      </c>
      <c r="BQ159" s="1138">
        <v>0</v>
      </c>
      <c r="BR159" s="1138">
        <v>0</v>
      </c>
      <c r="BS159" s="1138">
        <v>0</v>
      </c>
      <c r="BT159" s="1138">
        <v>0</v>
      </c>
      <c r="BU159" s="1138">
        <v>0</v>
      </c>
      <c r="BV159" s="1138">
        <v>0</v>
      </c>
      <c r="BW159" s="1138">
        <v>0</v>
      </c>
      <c r="BX159" s="1138">
        <v>0</v>
      </c>
      <c r="BY159" s="1138">
        <v>0</v>
      </c>
      <c r="BZ159" s="1138">
        <v>0</v>
      </c>
      <c r="CA159" s="1138">
        <v>0</v>
      </c>
      <c r="CB159" s="1138">
        <v>0</v>
      </c>
    </row>
    <row r="160" spans="1:80" x14ac:dyDescent="0.3">
      <c r="A160" s="269">
        <v>510</v>
      </c>
      <c r="B160" s="1002">
        <v>510</v>
      </c>
      <c r="C160" s="269" t="s">
        <v>220</v>
      </c>
      <c r="D160" s="269" t="s">
        <v>477</v>
      </c>
      <c r="E160" s="1138">
        <v>0</v>
      </c>
      <c r="F160" s="1138">
        <v>0</v>
      </c>
      <c r="G160" s="1138">
        <v>0</v>
      </c>
      <c r="H160" s="1138">
        <v>233145</v>
      </c>
      <c r="I160" s="1138">
        <v>23596</v>
      </c>
      <c r="J160" s="1138">
        <v>0</v>
      </c>
      <c r="K160" s="1138">
        <v>0</v>
      </c>
      <c r="L160" s="1138">
        <v>36075</v>
      </c>
      <c r="M160" s="1138">
        <v>0</v>
      </c>
      <c r="N160" s="1138">
        <v>0</v>
      </c>
      <c r="O160" s="1138">
        <v>0</v>
      </c>
      <c r="P160" s="1138">
        <v>0</v>
      </c>
      <c r="Q160" s="1138">
        <v>0</v>
      </c>
      <c r="R160" s="1138">
        <v>144678</v>
      </c>
      <c r="S160" s="1138">
        <v>66150</v>
      </c>
      <c r="T160" s="1138">
        <v>451885</v>
      </c>
      <c r="U160" s="1138">
        <v>0</v>
      </c>
      <c r="V160" s="1138">
        <v>302118</v>
      </c>
      <c r="W160" s="1138">
        <v>0</v>
      </c>
      <c r="X160" s="1138">
        <v>0</v>
      </c>
      <c r="Y160" s="1138">
        <v>0</v>
      </c>
      <c r="Z160" s="1138">
        <v>0</v>
      </c>
      <c r="AA160" s="1138">
        <v>59469</v>
      </c>
      <c r="AB160" s="1138">
        <v>32265</v>
      </c>
      <c r="AC160" s="1138">
        <v>0</v>
      </c>
      <c r="AD160" s="1138">
        <v>0</v>
      </c>
      <c r="AE160" s="1138">
        <v>5251</v>
      </c>
      <c r="AF160" s="1138">
        <v>0</v>
      </c>
      <c r="AG160" s="1138">
        <v>0</v>
      </c>
      <c r="AH160" s="1138">
        <v>0</v>
      </c>
      <c r="AI160" s="1138">
        <v>0</v>
      </c>
      <c r="AJ160" s="1138">
        <v>0</v>
      </c>
      <c r="AK160" s="1138">
        <v>138490</v>
      </c>
      <c r="AL160" s="1138">
        <v>0</v>
      </c>
      <c r="AM160" s="1138">
        <v>0</v>
      </c>
      <c r="AN160" s="1138">
        <v>0</v>
      </c>
      <c r="AO160" s="1138">
        <v>172715</v>
      </c>
      <c r="AP160" s="1138">
        <v>0</v>
      </c>
      <c r="AQ160" s="1138">
        <v>0</v>
      </c>
      <c r="AR160" s="1138">
        <v>375612</v>
      </c>
      <c r="AS160" s="1138">
        <v>1072</v>
      </c>
      <c r="AT160" s="1138">
        <v>0</v>
      </c>
      <c r="AU160" s="1138">
        <v>26641</v>
      </c>
      <c r="AV160" s="1138">
        <v>92833</v>
      </c>
      <c r="AW160" s="1138">
        <v>0</v>
      </c>
      <c r="AX160" s="1138">
        <v>0</v>
      </c>
      <c r="AY160" s="1138">
        <v>0</v>
      </c>
      <c r="AZ160" s="1138">
        <v>72761</v>
      </c>
      <c r="BA160" s="1138">
        <v>18020</v>
      </c>
      <c r="BB160" s="1138">
        <v>0</v>
      </c>
      <c r="BC160" s="1138">
        <v>0</v>
      </c>
      <c r="BD160" s="1138">
        <v>0</v>
      </c>
      <c r="BE160" s="1138">
        <v>0</v>
      </c>
      <c r="BF160" s="1138">
        <v>0</v>
      </c>
      <c r="BG160" s="1138">
        <v>2350</v>
      </c>
      <c r="BH160" s="1138">
        <v>0</v>
      </c>
      <c r="BI160" s="1138">
        <v>126399</v>
      </c>
      <c r="BJ160" s="1138">
        <v>1600</v>
      </c>
      <c r="BK160" s="1138">
        <v>0</v>
      </c>
      <c r="BL160" s="1138">
        <v>222337</v>
      </c>
      <c r="BM160" s="1138">
        <v>0</v>
      </c>
      <c r="BN160" s="1138">
        <v>0</v>
      </c>
      <c r="BO160" s="1138">
        <v>85134</v>
      </c>
      <c r="BP160" s="1138">
        <v>69498</v>
      </c>
      <c r="BQ160" s="1138">
        <v>0</v>
      </c>
      <c r="BR160" s="1138">
        <v>72805</v>
      </c>
      <c r="BS160" s="1138">
        <v>0</v>
      </c>
      <c r="BT160" s="1138">
        <v>0</v>
      </c>
      <c r="BU160" s="1138">
        <v>48004</v>
      </c>
      <c r="BV160" s="1138">
        <v>70696</v>
      </c>
      <c r="BW160" s="1138">
        <v>3747</v>
      </c>
      <c r="BX160" s="1138">
        <v>213</v>
      </c>
      <c r="BY160" s="1138">
        <v>0</v>
      </c>
      <c r="BZ160" s="1138">
        <v>0</v>
      </c>
      <c r="CA160" s="1138">
        <v>0</v>
      </c>
      <c r="CB160" s="1138">
        <v>0</v>
      </c>
    </row>
    <row r="161" spans="1:80" x14ac:dyDescent="0.3">
      <c r="A161" s="269">
        <v>511</v>
      </c>
      <c r="B161" s="1002">
        <v>511</v>
      </c>
      <c r="C161" s="269" t="s">
        <v>225</v>
      </c>
      <c r="D161" s="269" t="s">
        <v>478</v>
      </c>
      <c r="E161" s="1138">
        <v>0</v>
      </c>
      <c r="F161" s="1138">
        <v>0</v>
      </c>
      <c r="G161" s="1138">
        <v>0</v>
      </c>
      <c r="H161" s="1138">
        <v>0</v>
      </c>
      <c r="I161" s="1138">
        <v>0</v>
      </c>
      <c r="J161" s="1138">
        <v>0</v>
      </c>
      <c r="K161" s="1138">
        <v>0</v>
      </c>
      <c r="L161" s="1138">
        <v>0</v>
      </c>
      <c r="M161" s="1138">
        <v>0</v>
      </c>
      <c r="N161" s="1138">
        <v>0</v>
      </c>
      <c r="O161" s="1138">
        <v>0</v>
      </c>
      <c r="P161" s="1138">
        <v>0</v>
      </c>
      <c r="Q161" s="1138">
        <v>0</v>
      </c>
      <c r="R161" s="1138">
        <v>0</v>
      </c>
      <c r="S161" s="1138">
        <v>0</v>
      </c>
      <c r="T161" s="1138">
        <v>427918</v>
      </c>
      <c r="U161" s="1138">
        <v>0</v>
      </c>
      <c r="V161" s="1138">
        <v>1118727</v>
      </c>
      <c r="W161" s="1138">
        <v>0</v>
      </c>
      <c r="X161" s="1138">
        <v>0</v>
      </c>
      <c r="Y161" s="1138">
        <v>0</v>
      </c>
      <c r="Z161" s="1138">
        <v>0</v>
      </c>
      <c r="AA161" s="1138">
        <v>320945</v>
      </c>
      <c r="AB161" s="1138">
        <v>0</v>
      </c>
      <c r="AC161" s="1138">
        <v>0</v>
      </c>
      <c r="AD161" s="1138">
        <v>0</v>
      </c>
      <c r="AE161" s="1138">
        <v>0</v>
      </c>
      <c r="AF161" s="1138">
        <v>0</v>
      </c>
      <c r="AG161" s="1138">
        <v>0</v>
      </c>
      <c r="AH161" s="1138">
        <v>0</v>
      </c>
      <c r="AI161" s="1138">
        <v>0</v>
      </c>
      <c r="AJ161" s="1138">
        <v>0</v>
      </c>
      <c r="AK161" s="1138">
        <v>1136836</v>
      </c>
      <c r="AL161" s="1138">
        <v>0</v>
      </c>
      <c r="AM161" s="1138">
        <v>0</v>
      </c>
      <c r="AN161" s="1138">
        <v>0</v>
      </c>
      <c r="AO161" s="1138">
        <v>0</v>
      </c>
      <c r="AP161" s="1138">
        <v>0</v>
      </c>
      <c r="AQ161" s="1138">
        <v>0</v>
      </c>
      <c r="AR161" s="1138">
        <v>1702426</v>
      </c>
      <c r="AS161" s="1138">
        <v>0</v>
      </c>
      <c r="AT161" s="1138">
        <v>0</v>
      </c>
      <c r="AU161" s="1138">
        <v>0</v>
      </c>
      <c r="AV161" s="1138">
        <v>67294</v>
      </c>
      <c r="AW161" s="1138">
        <v>0</v>
      </c>
      <c r="AX161" s="1138">
        <v>0</v>
      </c>
      <c r="AY161" s="1138">
        <v>0</v>
      </c>
      <c r="AZ161" s="1138">
        <v>0</v>
      </c>
      <c r="BA161" s="1138">
        <v>0</v>
      </c>
      <c r="BB161" s="1138">
        <v>0</v>
      </c>
      <c r="BC161" s="1138">
        <v>0</v>
      </c>
      <c r="BD161" s="1138">
        <v>0</v>
      </c>
      <c r="BE161" s="1138">
        <v>0</v>
      </c>
      <c r="BF161" s="1138">
        <v>0</v>
      </c>
      <c r="BG161" s="1138">
        <v>15839</v>
      </c>
      <c r="BH161" s="1138">
        <v>0</v>
      </c>
      <c r="BI161" s="1138">
        <v>0</v>
      </c>
      <c r="BJ161" s="1138">
        <v>0</v>
      </c>
      <c r="BK161" s="1138">
        <v>0</v>
      </c>
      <c r="BL161" s="1138">
        <v>481802</v>
      </c>
      <c r="BM161" s="1138">
        <v>0</v>
      </c>
      <c r="BN161" s="1138">
        <v>0</v>
      </c>
      <c r="BO161" s="1138">
        <v>0</v>
      </c>
      <c r="BP161" s="1138">
        <v>0</v>
      </c>
      <c r="BQ161" s="1138">
        <v>0</v>
      </c>
      <c r="BR161" s="1138">
        <v>0</v>
      </c>
      <c r="BS161" s="1138">
        <v>0</v>
      </c>
      <c r="BT161" s="1138">
        <v>0</v>
      </c>
      <c r="BU161" s="1138">
        <v>0</v>
      </c>
      <c r="BV161" s="1138">
        <v>0</v>
      </c>
      <c r="BW161" s="1138">
        <v>0</v>
      </c>
      <c r="BX161" s="1138">
        <v>0</v>
      </c>
      <c r="BY161" s="1138">
        <v>0</v>
      </c>
      <c r="BZ161" s="1138">
        <v>0</v>
      </c>
      <c r="CA161" s="1138">
        <v>0</v>
      </c>
      <c r="CB161" s="1138">
        <v>0</v>
      </c>
    </row>
    <row r="162" spans="1:80" x14ac:dyDescent="0.3">
      <c r="A162" s="269">
        <v>512</v>
      </c>
      <c r="B162" s="1002">
        <v>512</v>
      </c>
      <c r="C162" s="269" t="s">
        <v>252</v>
      </c>
      <c r="D162" s="269" t="s">
        <v>479</v>
      </c>
      <c r="E162" s="1138">
        <v>0</v>
      </c>
      <c r="F162" s="1138">
        <v>0</v>
      </c>
      <c r="G162" s="1138">
        <v>0</v>
      </c>
      <c r="H162" s="1138">
        <v>0</v>
      </c>
      <c r="I162" s="1138">
        <v>0</v>
      </c>
      <c r="J162" s="1138">
        <v>0</v>
      </c>
      <c r="K162" s="1138">
        <v>0</v>
      </c>
      <c r="L162" s="1138">
        <v>0</v>
      </c>
      <c r="M162" s="1138">
        <v>0</v>
      </c>
      <c r="N162" s="1138">
        <v>0</v>
      </c>
      <c r="O162" s="1138">
        <v>0</v>
      </c>
      <c r="P162" s="1138">
        <v>0</v>
      </c>
      <c r="Q162" s="1138">
        <v>0</v>
      </c>
      <c r="R162" s="1138">
        <v>267168</v>
      </c>
      <c r="S162" s="1138">
        <v>0</v>
      </c>
      <c r="T162" s="1138">
        <v>240262</v>
      </c>
      <c r="U162" s="1138">
        <v>0</v>
      </c>
      <c r="V162" s="1138">
        <v>0</v>
      </c>
      <c r="W162" s="1138">
        <v>0</v>
      </c>
      <c r="X162" s="1138">
        <v>93091</v>
      </c>
      <c r="Y162" s="1138">
        <v>0</v>
      </c>
      <c r="Z162" s="1138">
        <v>0</v>
      </c>
      <c r="AA162" s="1138">
        <v>0</v>
      </c>
      <c r="AB162" s="1138">
        <v>23210</v>
      </c>
      <c r="AC162" s="1138">
        <v>0</v>
      </c>
      <c r="AD162" s="1138">
        <v>0</v>
      </c>
      <c r="AE162" s="1138">
        <v>0</v>
      </c>
      <c r="AF162" s="1138">
        <v>0</v>
      </c>
      <c r="AG162" s="1138">
        <v>0</v>
      </c>
      <c r="AH162" s="1138">
        <v>0</v>
      </c>
      <c r="AI162" s="1138">
        <v>0</v>
      </c>
      <c r="AJ162" s="1138">
        <v>0</v>
      </c>
      <c r="AK162" s="1138">
        <v>106431</v>
      </c>
      <c r="AL162" s="1138">
        <v>0</v>
      </c>
      <c r="AM162" s="1138">
        <v>0</v>
      </c>
      <c r="AN162" s="1138">
        <v>0</v>
      </c>
      <c r="AO162" s="1138">
        <v>1941</v>
      </c>
      <c r="AP162" s="1138">
        <v>0</v>
      </c>
      <c r="AQ162" s="1138">
        <v>0</v>
      </c>
      <c r="AR162" s="1138">
        <v>0</v>
      </c>
      <c r="AS162" s="1138">
        <v>0</v>
      </c>
      <c r="AT162" s="1138">
        <v>37180</v>
      </c>
      <c r="AU162" s="1138">
        <v>0</v>
      </c>
      <c r="AV162" s="1138">
        <v>0</v>
      </c>
      <c r="AW162" s="1138">
        <v>0</v>
      </c>
      <c r="AX162" s="1138">
        <v>0</v>
      </c>
      <c r="AY162" s="1138">
        <v>0</v>
      </c>
      <c r="AZ162" s="1138">
        <v>0</v>
      </c>
      <c r="BA162" s="1138">
        <v>1404</v>
      </c>
      <c r="BB162" s="1138">
        <v>0</v>
      </c>
      <c r="BC162" s="1138">
        <v>0</v>
      </c>
      <c r="BD162" s="1138">
        <v>0</v>
      </c>
      <c r="BE162" s="1138">
        <v>0</v>
      </c>
      <c r="BF162" s="1138">
        <v>0</v>
      </c>
      <c r="BG162" s="1138">
        <v>0</v>
      </c>
      <c r="BH162" s="1138">
        <v>0</v>
      </c>
      <c r="BI162" s="1138">
        <v>111261</v>
      </c>
      <c r="BJ162" s="1138">
        <v>0</v>
      </c>
      <c r="BK162" s="1138">
        <v>0</v>
      </c>
      <c r="BL162" s="1138">
        <v>0</v>
      </c>
      <c r="BM162" s="1138">
        <v>0</v>
      </c>
      <c r="BN162" s="1138">
        <v>0</v>
      </c>
      <c r="BO162" s="1138">
        <v>0</v>
      </c>
      <c r="BP162" s="1138">
        <v>0</v>
      </c>
      <c r="BQ162" s="1138">
        <v>0</v>
      </c>
      <c r="BR162" s="1138">
        <v>0</v>
      </c>
      <c r="BS162" s="1138">
        <v>0</v>
      </c>
      <c r="BT162" s="1138">
        <v>0</v>
      </c>
      <c r="BU162" s="1138">
        <v>0</v>
      </c>
      <c r="BV162" s="1138">
        <v>0</v>
      </c>
      <c r="BW162" s="1138">
        <v>3735</v>
      </c>
      <c r="BX162" s="1138">
        <v>0</v>
      </c>
      <c r="BY162" s="1138">
        <v>0</v>
      </c>
      <c r="BZ162" s="1138">
        <v>0</v>
      </c>
      <c r="CA162" s="1138">
        <v>0</v>
      </c>
      <c r="CB162" s="1138">
        <v>0</v>
      </c>
    </row>
    <row r="163" spans="1:80" x14ac:dyDescent="0.3">
      <c r="A163" s="269">
        <v>513</v>
      </c>
      <c r="B163" s="1002">
        <v>513</v>
      </c>
      <c r="C163" s="269" t="s">
        <v>263</v>
      </c>
      <c r="D163" s="269" t="s">
        <v>480</v>
      </c>
      <c r="E163" s="1138">
        <v>0</v>
      </c>
      <c r="F163" s="1138">
        <v>0</v>
      </c>
      <c r="G163" s="1138">
        <v>0</v>
      </c>
      <c r="H163" s="1138">
        <v>0</v>
      </c>
      <c r="I163" s="1138">
        <v>0</v>
      </c>
      <c r="J163" s="1138">
        <v>0</v>
      </c>
      <c r="K163" s="1138">
        <v>0</v>
      </c>
      <c r="L163" s="1138">
        <v>0</v>
      </c>
      <c r="M163" s="1138">
        <v>0</v>
      </c>
      <c r="N163" s="1138">
        <v>0</v>
      </c>
      <c r="O163" s="1138">
        <v>0</v>
      </c>
      <c r="P163" s="1138">
        <v>0</v>
      </c>
      <c r="Q163" s="1138">
        <v>0</v>
      </c>
      <c r="R163" s="1138">
        <v>0</v>
      </c>
      <c r="S163" s="1138">
        <v>0</v>
      </c>
      <c r="T163" s="1138">
        <v>0</v>
      </c>
      <c r="U163" s="1138">
        <v>0</v>
      </c>
      <c r="V163" s="1138">
        <v>0</v>
      </c>
      <c r="W163" s="1138">
        <v>0</v>
      </c>
      <c r="X163" s="1138">
        <v>0</v>
      </c>
      <c r="Y163" s="1138">
        <v>0</v>
      </c>
      <c r="Z163" s="1138">
        <v>0</v>
      </c>
      <c r="AA163" s="1138">
        <v>0</v>
      </c>
      <c r="AB163" s="1138">
        <v>0</v>
      </c>
      <c r="AC163" s="1138">
        <v>0</v>
      </c>
      <c r="AD163" s="1138">
        <v>0</v>
      </c>
      <c r="AE163" s="1138">
        <v>0</v>
      </c>
      <c r="AF163" s="1138">
        <v>0</v>
      </c>
      <c r="AG163" s="1138">
        <v>0</v>
      </c>
      <c r="AH163" s="1138">
        <v>0</v>
      </c>
      <c r="AI163" s="1138">
        <v>0</v>
      </c>
      <c r="AJ163" s="1138">
        <v>0</v>
      </c>
      <c r="AK163" s="1138">
        <v>0</v>
      </c>
      <c r="AL163" s="1138">
        <v>0</v>
      </c>
      <c r="AM163" s="1138">
        <v>0</v>
      </c>
      <c r="AN163" s="1138">
        <v>0</v>
      </c>
      <c r="AO163" s="1138">
        <v>0</v>
      </c>
      <c r="AP163" s="1138">
        <v>0</v>
      </c>
      <c r="AQ163" s="1138">
        <v>0</v>
      </c>
      <c r="AR163" s="1138">
        <v>0</v>
      </c>
      <c r="AS163" s="1138">
        <v>0</v>
      </c>
      <c r="AT163" s="1138">
        <v>0</v>
      </c>
      <c r="AU163" s="1138">
        <v>0</v>
      </c>
      <c r="AV163" s="1138">
        <v>0</v>
      </c>
      <c r="AW163" s="1138">
        <v>0</v>
      </c>
      <c r="AX163" s="1138">
        <v>0</v>
      </c>
      <c r="AY163" s="1138">
        <v>0</v>
      </c>
      <c r="AZ163" s="1138">
        <v>0</v>
      </c>
      <c r="BA163" s="1138">
        <v>0</v>
      </c>
      <c r="BB163" s="1138">
        <v>0</v>
      </c>
      <c r="BC163" s="1138">
        <v>0</v>
      </c>
      <c r="BD163" s="1138">
        <v>0</v>
      </c>
      <c r="BE163" s="1138">
        <v>0</v>
      </c>
      <c r="BF163" s="1138">
        <v>0</v>
      </c>
      <c r="BG163" s="1138">
        <v>0</v>
      </c>
      <c r="BH163" s="1138">
        <v>0</v>
      </c>
      <c r="BI163" s="1138">
        <v>0</v>
      </c>
      <c r="BJ163" s="1138">
        <v>0</v>
      </c>
      <c r="BK163" s="1138">
        <v>0</v>
      </c>
      <c r="BL163" s="1138">
        <v>0</v>
      </c>
      <c r="BM163" s="1138">
        <v>0</v>
      </c>
      <c r="BN163" s="1138">
        <v>0</v>
      </c>
      <c r="BO163" s="1138">
        <v>0</v>
      </c>
      <c r="BP163" s="1138">
        <v>0</v>
      </c>
      <c r="BQ163" s="1138">
        <v>0</v>
      </c>
      <c r="BR163" s="1138">
        <v>0</v>
      </c>
      <c r="BS163" s="1138">
        <v>0</v>
      </c>
      <c r="BT163" s="1138">
        <v>0</v>
      </c>
      <c r="BU163" s="1138">
        <v>0</v>
      </c>
      <c r="BV163" s="1138">
        <v>0</v>
      </c>
      <c r="BW163" s="1138">
        <v>0</v>
      </c>
      <c r="BX163" s="1138">
        <v>0</v>
      </c>
      <c r="BY163" s="1138">
        <v>0</v>
      </c>
      <c r="BZ163" s="1138">
        <v>0</v>
      </c>
      <c r="CA163" s="1138">
        <v>0</v>
      </c>
      <c r="CB163" s="1138">
        <v>0</v>
      </c>
    </row>
    <row r="164" spans="1:80" x14ac:dyDescent="0.3">
      <c r="A164" s="269">
        <v>514</v>
      </c>
      <c r="B164" s="1002">
        <v>514</v>
      </c>
      <c r="C164" s="269" t="s">
        <v>264</v>
      </c>
      <c r="D164" s="269" t="s">
        <v>481</v>
      </c>
      <c r="E164" s="1138">
        <v>0</v>
      </c>
      <c r="F164" s="1138">
        <v>0</v>
      </c>
      <c r="G164" s="1138">
        <v>0</v>
      </c>
      <c r="H164" s="1138">
        <v>0</v>
      </c>
      <c r="I164" s="1138">
        <v>0</v>
      </c>
      <c r="J164" s="1138">
        <v>0</v>
      </c>
      <c r="K164" s="1138">
        <v>0</v>
      </c>
      <c r="L164" s="1138">
        <v>0</v>
      </c>
      <c r="M164" s="1138">
        <v>0</v>
      </c>
      <c r="N164" s="1138">
        <v>0</v>
      </c>
      <c r="O164" s="1138">
        <v>0</v>
      </c>
      <c r="P164" s="1138">
        <v>0</v>
      </c>
      <c r="Q164" s="1138">
        <v>0</v>
      </c>
      <c r="R164" s="1138">
        <v>0</v>
      </c>
      <c r="S164" s="1138">
        <v>0</v>
      </c>
      <c r="T164" s="1138">
        <v>2279757</v>
      </c>
      <c r="U164" s="1138">
        <v>0</v>
      </c>
      <c r="V164" s="1138">
        <v>0</v>
      </c>
      <c r="W164" s="1138">
        <v>0</v>
      </c>
      <c r="X164" s="1138">
        <v>0</v>
      </c>
      <c r="Y164" s="1138">
        <v>0</v>
      </c>
      <c r="Z164" s="1138">
        <v>0</v>
      </c>
      <c r="AA164" s="1138">
        <v>100000</v>
      </c>
      <c r="AB164" s="1138">
        <v>0</v>
      </c>
      <c r="AC164" s="1138">
        <v>0</v>
      </c>
      <c r="AD164" s="1138">
        <v>0</v>
      </c>
      <c r="AE164" s="1138">
        <v>0</v>
      </c>
      <c r="AF164" s="1138">
        <v>0</v>
      </c>
      <c r="AG164" s="1138">
        <v>0</v>
      </c>
      <c r="AH164" s="1138">
        <v>0</v>
      </c>
      <c r="AI164" s="1138">
        <v>0</v>
      </c>
      <c r="AJ164" s="1138">
        <v>0</v>
      </c>
      <c r="AK164" s="1138">
        <v>63332</v>
      </c>
      <c r="AL164" s="1138">
        <v>0</v>
      </c>
      <c r="AM164" s="1138">
        <v>0</v>
      </c>
      <c r="AN164" s="1138">
        <v>0</v>
      </c>
      <c r="AO164" s="1138">
        <v>0</v>
      </c>
      <c r="AP164" s="1138">
        <v>0</v>
      </c>
      <c r="AQ164" s="1138">
        <v>0</v>
      </c>
      <c r="AR164" s="1138">
        <v>1426993</v>
      </c>
      <c r="AS164" s="1138">
        <v>0</v>
      </c>
      <c r="AT164" s="1138">
        <v>0</v>
      </c>
      <c r="AU164" s="1138">
        <v>0</v>
      </c>
      <c r="AV164" s="1138">
        <v>25975</v>
      </c>
      <c r="AW164" s="1138">
        <v>0</v>
      </c>
      <c r="AX164" s="1138">
        <v>0</v>
      </c>
      <c r="AY164" s="1138">
        <v>0</v>
      </c>
      <c r="AZ164" s="1138">
        <v>0</v>
      </c>
      <c r="BA164" s="1138">
        <v>367305</v>
      </c>
      <c r="BB164" s="1138">
        <v>0</v>
      </c>
      <c r="BC164" s="1138">
        <v>0</v>
      </c>
      <c r="BD164" s="1138">
        <v>0</v>
      </c>
      <c r="BE164" s="1138">
        <v>0</v>
      </c>
      <c r="BF164" s="1138">
        <v>0</v>
      </c>
      <c r="BG164" s="1138">
        <v>0</v>
      </c>
      <c r="BH164" s="1138">
        <v>0</v>
      </c>
      <c r="BI164" s="1138">
        <v>0</v>
      </c>
      <c r="BJ164" s="1138">
        <v>0</v>
      </c>
      <c r="BK164" s="1138">
        <v>0</v>
      </c>
      <c r="BL164" s="1138">
        <v>0</v>
      </c>
      <c r="BM164" s="1138">
        <v>0</v>
      </c>
      <c r="BN164" s="1138">
        <v>0</v>
      </c>
      <c r="BO164" s="1138">
        <v>0</v>
      </c>
      <c r="BP164" s="1138">
        <v>0</v>
      </c>
      <c r="BQ164" s="1138">
        <v>0</v>
      </c>
      <c r="BR164" s="1138">
        <v>0</v>
      </c>
      <c r="BS164" s="1138">
        <v>0</v>
      </c>
      <c r="BT164" s="1138">
        <v>0</v>
      </c>
      <c r="BU164" s="1138">
        <v>0</v>
      </c>
      <c r="BV164" s="1138">
        <v>0</v>
      </c>
      <c r="BW164" s="1138">
        <v>0</v>
      </c>
      <c r="BX164" s="1138">
        <v>0</v>
      </c>
      <c r="BY164" s="1138">
        <v>0</v>
      </c>
      <c r="BZ164" s="1138">
        <v>0</v>
      </c>
      <c r="CA164" s="1138">
        <v>0</v>
      </c>
      <c r="CB164" s="1138">
        <v>0</v>
      </c>
    </row>
    <row r="165" spans="1:80" x14ac:dyDescent="0.3">
      <c r="A165" s="269">
        <v>515</v>
      </c>
      <c r="B165" s="1002">
        <v>515</v>
      </c>
      <c r="C165" s="269" t="s">
        <v>277</v>
      </c>
      <c r="D165" s="269" t="s">
        <v>482</v>
      </c>
      <c r="E165" s="1138">
        <v>0</v>
      </c>
      <c r="F165" s="1138">
        <v>0</v>
      </c>
      <c r="G165" s="1138">
        <v>0</v>
      </c>
      <c r="H165" s="1138">
        <v>114728721</v>
      </c>
      <c r="I165" s="1138">
        <v>1379770</v>
      </c>
      <c r="J165" s="1138">
        <v>0</v>
      </c>
      <c r="K165" s="1138">
        <v>0</v>
      </c>
      <c r="L165" s="1138">
        <v>0</v>
      </c>
      <c r="M165" s="1138">
        <v>22895344</v>
      </c>
      <c r="N165" s="1138">
        <v>0</v>
      </c>
      <c r="O165" s="1138">
        <v>0</v>
      </c>
      <c r="P165" s="1138">
        <v>87396</v>
      </c>
      <c r="Q165" s="1138">
        <v>0</v>
      </c>
      <c r="R165" s="1138">
        <v>412781</v>
      </c>
      <c r="S165" s="1138">
        <v>494360</v>
      </c>
      <c r="T165" s="1138">
        <v>14535483</v>
      </c>
      <c r="U165" s="1138">
        <v>0</v>
      </c>
      <c r="V165" s="1138">
        <v>41906579</v>
      </c>
      <c r="W165" s="1138">
        <v>0</v>
      </c>
      <c r="X165" s="1138">
        <v>0</v>
      </c>
      <c r="Y165" s="1138">
        <v>0</v>
      </c>
      <c r="Z165" s="1138">
        <v>793162</v>
      </c>
      <c r="AA165" s="1138">
        <v>0</v>
      </c>
      <c r="AB165" s="1138">
        <v>0</v>
      </c>
      <c r="AC165" s="1138">
        <v>0</v>
      </c>
      <c r="AD165" s="1138">
        <v>0</v>
      </c>
      <c r="AE165" s="1138">
        <v>0</v>
      </c>
      <c r="AF165" s="1138">
        <v>219072</v>
      </c>
      <c r="AG165" s="1138">
        <v>0</v>
      </c>
      <c r="AH165" s="1138">
        <v>0</v>
      </c>
      <c r="AI165" s="1138">
        <v>0</v>
      </c>
      <c r="AJ165" s="1138">
        <v>0</v>
      </c>
      <c r="AK165" s="1138">
        <v>0</v>
      </c>
      <c r="AL165" s="1138">
        <v>73000</v>
      </c>
      <c r="AM165" s="1138">
        <v>0</v>
      </c>
      <c r="AN165" s="1138">
        <v>0</v>
      </c>
      <c r="AO165" s="1138">
        <v>0</v>
      </c>
      <c r="AP165" s="1138">
        <v>0</v>
      </c>
      <c r="AQ165" s="1138">
        <v>0</v>
      </c>
      <c r="AR165" s="1138">
        <v>851923</v>
      </c>
      <c r="AS165" s="1138">
        <v>438864</v>
      </c>
      <c r="AT165" s="1138">
        <v>33338</v>
      </c>
      <c r="AU165" s="1138">
        <v>267595</v>
      </c>
      <c r="AV165" s="1138">
        <v>14215117</v>
      </c>
      <c r="AW165" s="1138">
        <v>108060</v>
      </c>
      <c r="AX165" s="1138">
        <v>48825</v>
      </c>
      <c r="AY165" s="1138">
        <v>0</v>
      </c>
      <c r="AZ165" s="1138">
        <v>0</v>
      </c>
      <c r="BA165" s="1138">
        <v>834343</v>
      </c>
      <c r="BB165" s="1138">
        <v>0</v>
      </c>
      <c r="BC165" s="1138">
        <v>0</v>
      </c>
      <c r="BD165" s="1138">
        <v>0</v>
      </c>
      <c r="BE165" s="1138">
        <v>0</v>
      </c>
      <c r="BF165" s="1138">
        <v>0</v>
      </c>
      <c r="BG165" s="1138">
        <v>0</v>
      </c>
      <c r="BH165" s="1138">
        <v>0</v>
      </c>
      <c r="BI165" s="1138">
        <v>0</v>
      </c>
      <c r="BJ165" s="1138">
        <v>0</v>
      </c>
      <c r="BK165" s="1138">
        <v>0</v>
      </c>
      <c r="BL165" s="1138">
        <v>81672</v>
      </c>
      <c r="BM165" s="1138">
        <v>0</v>
      </c>
      <c r="BN165" s="1138">
        <v>0</v>
      </c>
      <c r="BO165" s="1138">
        <v>7521010</v>
      </c>
      <c r="BP165" s="1138">
        <v>671860</v>
      </c>
      <c r="BQ165" s="1138">
        <v>0</v>
      </c>
      <c r="BR165" s="1138">
        <v>364151</v>
      </c>
      <c r="BS165" s="1138">
        <v>0</v>
      </c>
      <c r="BT165" s="1138">
        <v>0</v>
      </c>
      <c r="BU165" s="1138">
        <v>2483050</v>
      </c>
      <c r="BV165" s="1138">
        <v>0</v>
      </c>
      <c r="BW165" s="1138">
        <v>0</v>
      </c>
      <c r="BX165" s="1138">
        <v>0</v>
      </c>
      <c r="BY165" s="1138">
        <v>0</v>
      </c>
      <c r="BZ165" s="1138">
        <v>0</v>
      </c>
      <c r="CA165" s="1138">
        <v>9124317</v>
      </c>
      <c r="CB165" s="1138">
        <v>0</v>
      </c>
    </row>
    <row r="166" spans="1:80" x14ac:dyDescent="0.3">
      <c r="A166" s="269">
        <v>516</v>
      </c>
      <c r="B166" s="1002">
        <v>516</v>
      </c>
      <c r="C166" s="269" t="s">
        <v>278</v>
      </c>
      <c r="D166" s="269" t="s">
        <v>483</v>
      </c>
      <c r="E166" s="1138">
        <v>0</v>
      </c>
      <c r="F166" s="1138">
        <v>0</v>
      </c>
      <c r="G166" s="1138">
        <v>0</v>
      </c>
      <c r="H166" s="1138">
        <v>132950023</v>
      </c>
      <c r="I166" s="1138">
        <v>13323406</v>
      </c>
      <c r="J166" s="1138">
        <v>1900586</v>
      </c>
      <c r="K166" s="1138">
        <v>10450708</v>
      </c>
      <c r="L166" s="1138">
        <v>8176331</v>
      </c>
      <c r="M166" s="1138">
        <v>101112706</v>
      </c>
      <c r="N166" s="1138">
        <v>0</v>
      </c>
      <c r="O166" s="1138">
        <v>5152711</v>
      </c>
      <c r="P166" s="1138">
        <v>6483359</v>
      </c>
      <c r="Q166" s="1138">
        <v>0</v>
      </c>
      <c r="R166" s="1138">
        <v>19796438</v>
      </c>
      <c r="S166" s="1138">
        <v>39439433</v>
      </c>
      <c r="T166" s="1138">
        <v>29982695</v>
      </c>
      <c r="U166" s="1138">
        <v>0</v>
      </c>
      <c r="V166" s="1138">
        <v>68569459</v>
      </c>
      <c r="W166" s="1138">
        <v>0</v>
      </c>
      <c r="X166" s="1138">
        <v>0</v>
      </c>
      <c r="Y166" s="1138">
        <v>0</v>
      </c>
      <c r="Z166" s="1138">
        <v>9583134</v>
      </c>
      <c r="AA166" s="1138">
        <v>14873440</v>
      </c>
      <c r="AB166" s="1138">
        <v>10332893</v>
      </c>
      <c r="AC166" s="1138">
        <v>0</v>
      </c>
      <c r="AD166" s="1138">
        <v>766283</v>
      </c>
      <c r="AE166" s="1138">
        <v>14222748</v>
      </c>
      <c r="AF166" s="1138">
        <v>18715050</v>
      </c>
      <c r="AG166" s="1138">
        <v>1286321</v>
      </c>
      <c r="AH166" s="1138">
        <v>0</v>
      </c>
      <c r="AI166" s="1138">
        <v>0</v>
      </c>
      <c r="AJ166" s="1138">
        <v>2977200</v>
      </c>
      <c r="AK166" s="1138">
        <v>60605341</v>
      </c>
      <c r="AL166" s="1138">
        <v>2131288</v>
      </c>
      <c r="AM166" s="1138">
        <v>0</v>
      </c>
      <c r="AN166" s="1138">
        <v>47514897</v>
      </c>
      <c r="AO166" s="1138">
        <v>74601759</v>
      </c>
      <c r="AP166" s="1138">
        <v>1386889</v>
      </c>
      <c r="AQ166" s="1138">
        <v>0</v>
      </c>
      <c r="AR166" s="1138">
        <v>72442717</v>
      </c>
      <c r="AS166" s="1138">
        <v>9650211</v>
      </c>
      <c r="AT166" s="1138">
        <v>5958333</v>
      </c>
      <c r="AU166" s="1138">
        <v>6604509</v>
      </c>
      <c r="AV166" s="1138">
        <v>46934926</v>
      </c>
      <c r="AW166" s="1138">
        <v>1742830</v>
      </c>
      <c r="AX166" s="1138">
        <v>7227037</v>
      </c>
      <c r="AY166" s="1138">
        <v>13628125</v>
      </c>
      <c r="AZ166" s="1138">
        <v>17610665</v>
      </c>
      <c r="BA166" s="1138">
        <v>23710577</v>
      </c>
      <c r="BB166" s="1138">
        <v>0</v>
      </c>
      <c r="BC166" s="1138">
        <v>0</v>
      </c>
      <c r="BD166" s="1138">
        <v>0</v>
      </c>
      <c r="BE166" s="1138">
        <v>0</v>
      </c>
      <c r="BF166" s="1138">
        <v>0</v>
      </c>
      <c r="BG166" s="1138">
        <v>5041807</v>
      </c>
      <c r="BH166" s="1138">
        <v>0</v>
      </c>
      <c r="BI166" s="1138">
        <v>11626811</v>
      </c>
      <c r="BJ166" s="1138">
        <v>8263598</v>
      </c>
      <c r="BK166" s="1138">
        <v>0</v>
      </c>
      <c r="BL166" s="1138">
        <v>16829587</v>
      </c>
      <c r="BM166" s="1138">
        <v>10827909</v>
      </c>
      <c r="BN166" s="1138">
        <v>0</v>
      </c>
      <c r="BO166" s="1138">
        <v>24243427</v>
      </c>
      <c r="BP166" s="1138">
        <v>14181946</v>
      </c>
      <c r="BQ166" s="1138">
        <v>15097778</v>
      </c>
      <c r="BR166" s="1138">
        <v>5549916</v>
      </c>
      <c r="BS166" s="1138">
        <v>0</v>
      </c>
      <c r="BT166" s="1138">
        <v>0</v>
      </c>
      <c r="BU166" s="1138">
        <v>4880718</v>
      </c>
      <c r="BV166" s="1138">
        <v>23471066</v>
      </c>
      <c r="BW166" s="1138">
        <v>5905822</v>
      </c>
      <c r="BX166" s="1138">
        <v>1691705</v>
      </c>
      <c r="BY166" s="1138">
        <v>0</v>
      </c>
      <c r="BZ166" s="1138">
        <v>0</v>
      </c>
      <c r="CA166" s="1138">
        <v>54915706</v>
      </c>
      <c r="CB166" s="1138">
        <v>0</v>
      </c>
    </row>
    <row r="167" spans="1:80" x14ac:dyDescent="0.3">
      <c r="A167" s="269">
        <v>517</v>
      </c>
      <c r="B167" s="1002">
        <v>517</v>
      </c>
      <c r="C167" s="269" t="s">
        <v>279</v>
      </c>
      <c r="D167" s="269" t="s">
        <v>484</v>
      </c>
      <c r="E167" s="1138">
        <v>0</v>
      </c>
      <c r="F167" s="1138">
        <v>0</v>
      </c>
      <c r="G167" s="1138">
        <v>0</v>
      </c>
      <c r="H167" s="1138">
        <v>0</v>
      </c>
      <c r="I167" s="1138">
        <v>0</v>
      </c>
      <c r="J167" s="1138">
        <v>0</v>
      </c>
      <c r="K167" s="1138">
        <v>0</v>
      </c>
      <c r="L167" s="1138">
        <v>0</v>
      </c>
      <c r="M167" s="1138">
        <v>0</v>
      </c>
      <c r="N167" s="1138">
        <v>0</v>
      </c>
      <c r="O167" s="1138">
        <v>0</v>
      </c>
      <c r="P167" s="1138">
        <v>0</v>
      </c>
      <c r="Q167" s="1138">
        <v>0</v>
      </c>
      <c r="R167" s="1138">
        <v>0</v>
      </c>
      <c r="S167" s="1138">
        <v>0</v>
      </c>
      <c r="T167" s="1138">
        <v>0</v>
      </c>
      <c r="U167" s="1138">
        <v>0</v>
      </c>
      <c r="V167" s="1138">
        <v>438889</v>
      </c>
      <c r="W167" s="1138">
        <v>0</v>
      </c>
      <c r="X167" s="1138">
        <v>0</v>
      </c>
      <c r="Y167" s="1138">
        <v>0</v>
      </c>
      <c r="Z167" s="1138">
        <v>0</v>
      </c>
      <c r="AA167" s="1138">
        <v>0</v>
      </c>
      <c r="AB167" s="1138">
        <v>0</v>
      </c>
      <c r="AC167" s="1138">
        <v>0</v>
      </c>
      <c r="AD167" s="1138">
        <v>0</v>
      </c>
      <c r="AE167" s="1138">
        <v>0</v>
      </c>
      <c r="AF167" s="1138">
        <v>0</v>
      </c>
      <c r="AG167" s="1138">
        <v>0</v>
      </c>
      <c r="AH167" s="1138">
        <v>0</v>
      </c>
      <c r="AI167" s="1138">
        <v>0</v>
      </c>
      <c r="AJ167" s="1138">
        <v>0</v>
      </c>
      <c r="AK167" s="1138">
        <v>0</v>
      </c>
      <c r="AL167" s="1138">
        <v>0</v>
      </c>
      <c r="AM167" s="1138">
        <v>0</v>
      </c>
      <c r="AN167" s="1138">
        <v>0</v>
      </c>
      <c r="AO167" s="1138">
        <v>0</v>
      </c>
      <c r="AP167" s="1138">
        <v>0</v>
      </c>
      <c r="AQ167" s="1138">
        <v>0</v>
      </c>
      <c r="AR167" s="1138">
        <v>0</v>
      </c>
      <c r="AS167" s="1138">
        <v>56277</v>
      </c>
      <c r="AT167" s="1138">
        <v>0</v>
      </c>
      <c r="AU167" s="1138">
        <v>0</v>
      </c>
      <c r="AV167" s="1138">
        <v>0</v>
      </c>
      <c r="AW167" s="1138">
        <v>0</v>
      </c>
      <c r="AX167" s="1138">
        <v>0</v>
      </c>
      <c r="AY167" s="1138">
        <v>0</v>
      </c>
      <c r="AZ167" s="1138">
        <v>0</v>
      </c>
      <c r="BA167" s="1138">
        <v>0</v>
      </c>
      <c r="BB167" s="1138">
        <v>0</v>
      </c>
      <c r="BC167" s="1138">
        <v>0</v>
      </c>
      <c r="BD167" s="1138">
        <v>0</v>
      </c>
      <c r="BE167" s="1138">
        <v>0</v>
      </c>
      <c r="BF167" s="1138">
        <v>0</v>
      </c>
      <c r="BG167" s="1138">
        <v>0</v>
      </c>
      <c r="BH167" s="1138">
        <v>0</v>
      </c>
      <c r="BI167" s="1138">
        <v>0</v>
      </c>
      <c r="BJ167" s="1138">
        <v>0</v>
      </c>
      <c r="BK167" s="1138">
        <v>0</v>
      </c>
      <c r="BL167" s="1138">
        <v>0</v>
      </c>
      <c r="BM167" s="1138">
        <v>0</v>
      </c>
      <c r="BN167" s="1138">
        <v>0</v>
      </c>
      <c r="BO167" s="1138">
        <v>0</v>
      </c>
      <c r="BP167" s="1138">
        <v>0</v>
      </c>
      <c r="BQ167" s="1138">
        <v>0</v>
      </c>
      <c r="BR167" s="1138">
        <v>0</v>
      </c>
      <c r="BS167" s="1138">
        <v>0</v>
      </c>
      <c r="BT167" s="1138">
        <v>0</v>
      </c>
      <c r="BU167" s="1138">
        <v>0</v>
      </c>
      <c r="BV167" s="1138">
        <v>0</v>
      </c>
      <c r="BW167" s="1138">
        <v>0</v>
      </c>
      <c r="BX167" s="1138">
        <v>0</v>
      </c>
      <c r="BY167" s="1138">
        <v>0</v>
      </c>
      <c r="BZ167" s="1138">
        <v>0</v>
      </c>
      <c r="CA167" s="1138">
        <v>0</v>
      </c>
      <c r="CB167" s="1138">
        <v>0</v>
      </c>
    </row>
    <row r="168" spans="1:80" x14ac:dyDescent="0.3">
      <c r="A168" s="269">
        <v>518</v>
      </c>
      <c r="B168" s="1002">
        <v>518</v>
      </c>
      <c r="C168" s="269" t="s">
        <v>280</v>
      </c>
      <c r="D168" s="269" t="s">
        <v>485</v>
      </c>
      <c r="E168" s="1138">
        <v>0</v>
      </c>
      <c r="F168" s="1138">
        <v>0</v>
      </c>
      <c r="G168" s="1138">
        <v>0</v>
      </c>
      <c r="H168" s="1138">
        <v>9794905</v>
      </c>
      <c r="I168" s="1138">
        <v>9791269</v>
      </c>
      <c r="J168" s="1138">
        <v>68554</v>
      </c>
      <c r="K168" s="1138">
        <v>333979</v>
      </c>
      <c r="L168" s="1138">
        <v>0</v>
      </c>
      <c r="M168" s="1138">
        <v>4039412</v>
      </c>
      <c r="N168" s="1138">
        <v>0</v>
      </c>
      <c r="O168" s="1138">
        <v>491818</v>
      </c>
      <c r="P168" s="1138">
        <v>2037673</v>
      </c>
      <c r="Q168" s="1138">
        <v>0</v>
      </c>
      <c r="R168" s="1138">
        <v>3010414</v>
      </c>
      <c r="S168" s="1138">
        <v>1947501</v>
      </c>
      <c r="T168" s="1138">
        <v>63460970</v>
      </c>
      <c r="U168" s="1138">
        <v>0</v>
      </c>
      <c r="V168" s="1138">
        <v>5612028</v>
      </c>
      <c r="W168" s="1138">
        <v>0</v>
      </c>
      <c r="X168" s="1138">
        <v>0</v>
      </c>
      <c r="Y168" s="1138">
        <v>0</v>
      </c>
      <c r="Z168" s="1138">
        <v>812360</v>
      </c>
      <c r="AA168" s="1138">
        <v>1211139</v>
      </c>
      <c r="AB168" s="1138">
        <v>476807</v>
      </c>
      <c r="AC168" s="1138">
        <v>0</v>
      </c>
      <c r="AD168" s="1138">
        <v>60561</v>
      </c>
      <c r="AE168" s="1138">
        <v>448996</v>
      </c>
      <c r="AF168" s="1138">
        <v>1602753</v>
      </c>
      <c r="AG168" s="1138">
        <v>11089</v>
      </c>
      <c r="AH168" s="1138">
        <v>0</v>
      </c>
      <c r="AI168" s="1138">
        <v>0</v>
      </c>
      <c r="AJ168" s="1138">
        <v>170532</v>
      </c>
      <c r="AK168" s="1138">
        <v>4674474</v>
      </c>
      <c r="AL168" s="1138">
        <v>127645</v>
      </c>
      <c r="AM168" s="1138">
        <v>0</v>
      </c>
      <c r="AN168" s="1138">
        <v>3846810</v>
      </c>
      <c r="AO168" s="1138">
        <v>7780104</v>
      </c>
      <c r="AP168" s="1138">
        <v>70575</v>
      </c>
      <c r="AQ168" s="1138">
        <v>0</v>
      </c>
      <c r="AR168" s="1138">
        <v>2270374</v>
      </c>
      <c r="AS168" s="1138">
        <v>687483</v>
      </c>
      <c r="AT168" s="1138">
        <v>82313</v>
      </c>
      <c r="AU168" s="1138">
        <v>820030</v>
      </c>
      <c r="AV168" s="1138">
        <v>8840326</v>
      </c>
      <c r="AW168" s="1138">
        <v>20574</v>
      </c>
      <c r="AX168" s="1138">
        <v>819424</v>
      </c>
      <c r="AY168" s="1138">
        <v>173614</v>
      </c>
      <c r="AZ168" s="1138">
        <v>506942</v>
      </c>
      <c r="BA168" s="1138">
        <v>3761827</v>
      </c>
      <c r="BB168" s="1138">
        <v>0</v>
      </c>
      <c r="BC168" s="1138">
        <v>0</v>
      </c>
      <c r="BD168" s="1138">
        <v>0</v>
      </c>
      <c r="BE168" s="1138">
        <v>0</v>
      </c>
      <c r="BF168" s="1138">
        <v>0</v>
      </c>
      <c r="BG168" s="1138">
        <v>203904</v>
      </c>
      <c r="BH168" s="1138">
        <v>0</v>
      </c>
      <c r="BI168" s="1138">
        <v>1045706</v>
      </c>
      <c r="BJ168" s="1138">
        <v>421654</v>
      </c>
      <c r="BK168" s="1138">
        <v>0</v>
      </c>
      <c r="BL168" s="1138">
        <v>1859044</v>
      </c>
      <c r="BM168" s="1138">
        <v>541422</v>
      </c>
      <c r="BN168" s="1138">
        <v>0</v>
      </c>
      <c r="BO168" s="1138">
        <v>4327019</v>
      </c>
      <c r="BP168" s="1138">
        <v>485239</v>
      </c>
      <c r="BQ168" s="1138">
        <v>169335</v>
      </c>
      <c r="BR168" s="1138">
        <v>765780</v>
      </c>
      <c r="BS168" s="1138">
        <v>0</v>
      </c>
      <c r="BT168" s="1138">
        <v>0</v>
      </c>
      <c r="BU168" s="1138">
        <v>1918880</v>
      </c>
      <c r="BV168" s="1138">
        <v>1071937</v>
      </c>
      <c r="BW168" s="1138">
        <v>414954</v>
      </c>
      <c r="BX168" s="1138">
        <v>0</v>
      </c>
      <c r="BY168" s="1138">
        <v>0</v>
      </c>
      <c r="BZ168" s="1138">
        <v>0</v>
      </c>
      <c r="CA168" s="1138">
        <v>2095838</v>
      </c>
      <c r="CB168" s="1138">
        <v>0</v>
      </c>
    </row>
    <row r="169" spans="1:80" x14ac:dyDescent="0.3">
      <c r="A169" s="269">
        <v>519</v>
      </c>
      <c r="B169" s="1002">
        <v>519</v>
      </c>
      <c r="C169" s="269" t="s">
        <v>281</v>
      </c>
      <c r="D169" s="269" t="s">
        <v>486</v>
      </c>
      <c r="E169" s="1138">
        <v>0</v>
      </c>
      <c r="F169" s="1138">
        <v>0</v>
      </c>
      <c r="G169" s="1138">
        <v>0</v>
      </c>
      <c r="H169" s="1138">
        <v>2729608</v>
      </c>
      <c r="I169" s="1138">
        <v>32500</v>
      </c>
      <c r="J169" s="1138">
        <v>0</v>
      </c>
      <c r="K169" s="1138">
        <v>0</v>
      </c>
      <c r="L169" s="1138">
        <v>0</v>
      </c>
      <c r="M169" s="1138">
        <v>369318</v>
      </c>
      <c r="N169" s="1138">
        <v>0</v>
      </c>
      <c r="O169" s="1138">
        <v>0</v>
      </c>
      <c r="P169" s="1138">
        <v>1748</v>
      </c>
      <c r="Q169" s="1138">
        <v>0</v>
      </c>
      <c r="R169" s="1138">
        <v>2388</v>
      </c>
      <c r="S169" s="1138">
        <v>8520</v>
      </c>
      <c r="T169" s="1138">
        <v>159117</v>
      </c>
      <c r="U169" s="1138">
        <v>0</v>
      </c>
      <c r="V169" s="1138">
        <v>985121</v>
      </c>
      <c r="W169" s="1138">
        <v>0</v>
      </c>
      <c r="X169" s="1138">
        <v>0</v>
      </c>
      <c r="Y169" s="1138">
        <v>0</v>
      </c>
      <c r="Z169" s="1138">
        <v>9829</v>
      </c>
      <c r="AA169" s="1138">
        <v>0</v>
      </c>
      <c r="AB169" s="1138">
        <v>0</v>
      </c>
      <c r="AC169" s="1138">
        <v>0</v>
      </c>
      <c r="AD169" s="1138">
        <v>0</v>
      </c>
      <c r="AE169" s="1138">
        <v>0</v>
      </c>
      <c r="AF169" s="1138">
        <v>7557</v>
      </c>
      <c r="AG169" s="1138">
        <v>0</v>
      </c>
      <c r="AH169" s="1138">
        <v>0</v>
      </c>
      <c r="AI169" s="1138">
        <v>0</v>
      </c>
      <c r="AJ169" s="1138">
        <v>0</v>
      </c>
      <c r="AK169" s="1138">
        <v>0</v>
      </c>
      <c r="AL169" s="1138">
        <v>0</v>
      </c>
      <c r="AM169" s="1138">
        <v>0</v>
      </c>
      <c r="AN169" s="1138">
        <v>0</v>
      </c>
      <c r="AO169" s="1138">
        <v>0</v>
      </c>
      <c r="AP169" s="1138">
        <v>0</v>
      </c>
      <c r="AQ169" s="1138">
        <v>0</v>
      </c>
      <c r="AR169" s="1138">
        <v>10817</v>
      </c>
      <c r="AS169" s="1138">
        <v>11919</v>
      </c>
      <c r="AT169" s="1138">
        <v>667</v>
      </c>
      <c r="AU169" s="1138">
        <v>2895</v>
      </c>
      <c r="AV169" s="1138">
        <v>350385</v>
      </c>
      <c r="AW169" s="1138">
        <v>2874</v>
      </c>
      <c r="AX169" s="1138">
        <v>1628</v>
      </c>
      <c r="AY169" s="1138">
        <v>0</v>
      </c>
      <c r="AZ169" s="1138">
        <v>0</v>
      </c>
      <c r="BA169" s="1138">
        <v>20858</v>
      </c>
      <c r="BB169" s="1138">
        <v>0</v>
      </c>
      <c r="BC169" s="1138">
        <v>0</v>
      </c>
      <c r="BD169" s="1138">
        <v>0</v>
      </c>
      <c r="BE169" s="1138">
        <v>0</v>
      </c>
      <c r="BF169" s="1138">
        <v>0</v>
      </c>
      <c r="BG169" s="1138">
        <v>0</v>
      </c>
      <c r="BH169" s="1138">
        <v>0</v>
      </c>
      <c r="BI169" s="1138">
        <v>0</v>
      </c>
      <c r="BJ169" s="1138">
        <v>0</v>
      </c>
      <c r="BK169" s="1138">
        <v>0</v>
      </c>
      <c r="BL169" s="1138">
        <v>295</v>
      </c>
      <c r="BM169" s="1138">
        <v>0</v>
      </c>
      <c r="BN169" s="1138">
        <v>0</v>
      </c>
      <c r="BO169" s="1138">
        <v>133554</v>
      </c>
      <c r="BP169" s="1138">
        <v>17104</v>
      </c>
      <c r="BQ169" s="1138">
        <v>0</v>
      </c>
      <c r="BR169" s="1138">
        <v>9546</v>
      </c>
      <c r="BS169" s="1138">
        <v>0</v>
      </c>
      <c r="BT169" s="1138">
        <v>0</v>
      </c>
      <c r="BU169" s="1138">
        <v>106336</v>
      </c>
      <c r="BV169" s="1138">
        <v>0</v>
      </c>
      <c r="BW169" s="1138">
        <v>0</v>
      </c>
      <c r="BX169" s="1138">
        <v>0</v>
      </c>
      <c r="BY169" s="1138">
        <v>0</v>
      </c>
      <c r="BZ169" s="1138">
        <v>0</v>
      </c>
      <c r="CA169" s="1138">
        <v>198583</v>
      </c>
      <c r="CB169" s="1138">
        <v>0</v>
      </c>
    </row>
    <row r="170" spans="1:80" x14ac:dyDescent="0.3">
      <c r="A170" s="269">
        <v>520</v>
      </c>
      <c r="B170" s="1002">
        <v>520</v>
      </c>
      <c r="C170" s="269" t="s">
        <v>282</v>
      </c>
      <c r="D170" s="269" t="s">
        <v>487</v>
      </c>
      <c r="E170" s="1138">
        <v>0</v>
      </c>
      <c r="F170" s="1138">
        <v>0</v>
      </c>
      <c r="G170" s="1138">
        <v>0</v>
      </c>
      <c r="H170" s="1138">
        <v>5282642</v>
      </c>
      <c r="I170" s="1138">
        <v>268170</v>
      </c>
      <c r="J170" s="1138">
        <v>15662</v>
      </c>
      <c r="K170" s="1138">
        <v>211499</v>
      </c>
      <c r="L170" s="1138">
        <v>153094</v>
      </c>
      <c r="M170" s="1138">
        <v>1855208</v>
      </c>
      <c r="N170" s="1138">
        <v>0</v>
      </c>
      <c r="O170" s="1138">
        <v>102469</v>
      </c>
      <c r="P170" s="1138">
        <v>169064</v>
      </c>
      <c r="Q170" s="1138">
        <v>0</v>
      </c>
      <c r="R170" s="1138">
        <v>464233</v>
      </c>
      <c r="S170" s="1138">
        <v>926834</v>
      </c>
      <c r="T170" s="1138">
        <v>1085031</v>
      </c>
      <c r="U170" s="1138">
        <v>0</v>
      </c>
      <c r="V170" s="1138">
        <v>1211522</v>
      </c>
      <c r="W170" s="1138">
        <v>0</v>
      </c>
      <c r="X170" s="1138">
        <v>0</v>
      </c>
      <c r="Y170" s="1138">
        <v>0</v>
      </c>
      <c r="Z170" s="1138">
        <v>184547</v>
      </c>
      <c r="AA170" s="1138">
        <v>326047</v>
      </c>
      <c r="AB170" s="1138">
        <v>294710</v>
      </c>
      <c r="AC170" s="1138">
        <v>0</v>
      </c>
      <c r="AD170" s="1138">
        <v>3240</v>
      </c>
      <c r="AE170" s="1138">
        <v>286036</v>
      </c>
      <c r="AF170" s="1138">
        <v>402380</v>
      </c>
      <c r="AG170" s="1138">
        <v>25726</v>
      </c>
      <c r="AH170" s="1138">
        <v>0</v>
      </c>
      <c r="AI170" s="1138">
        <v>0</v>
      </c>
      <c r="AJ170" s="1138">
        <v>54678</v>
      </c>
      <c r="AK170" s="1138">
        <v>1252237</v>
      </c>
      <c r="AL170" s="1138">
        <v>52740</v>
      </c>
      <c r="AM170" s="1138">
        <v>0</v>
      </c>
      <c r="AN170" s="1138">
        <v>1235577</v>
      </c>
      <c r="AO170" s="1138">
        <v>1203765</v>
      </c>
      <c r="AP170" s="1138">
        <v>3743</v>
      </c>
      <c r="AQ170" s="1138">
        <v>0</v>
      </c>
      <c r="AR170" s="1138">
        <v>1057007</v>
      </c>
      <c r="AS170" s="1138">
        <v>200736</v>
      </c>
      <c r="AT170" s="1138">
        <v>119167</v>
      </c>
      <c r="AU170" s="1138">
        <v>195362</v>
      </c>
      <c r="AV170" s="1138">
        <v>1104115</v>
      </c>
      <c r="AW170" s="1138">
        <v>58094</v>
      </c>
      <c r="AX170" s="1138">
        <v>134212</v>
      </c>
      <c r="AY170" s="1138">
        <v>275230</v>
      </c>
      <c r="AZ170" s="1138">
        <v>331457</v>
      </c>
      <c r="BA170" s="1138">
        <v>442196</v>
      </c>
      <c r="BB170" s="1138">
        <v>0</v>
      </c>
      <c r="BC170" s="1138">
        <v>0</v>
      </c>
      <c r="BD170" s="1138">
        <v>0</v>
      </c>
      <c r="BE170" s="1138">
        <v>0</v>
      </c>
      <c r="BF170" s="1138">
        <v>0</v>
      </c>
      <c r="BG170" s="1138">
        <v>103843</v>
      </c>
      <c r="BH170" s="1138">
        <v>0</v>
      </c>
      <c r="BI170" s="1138">
        <v>229474</v>
      </c>
      <c r="BJ170" s="1138">
        <v>166075</v>
      </c>
      <c r="BK170" s="1138">
        <v>0</v>
      </c>
      <c r="BL170" s="1138">
        <v>325290</v>
      </c>
      <c r="BM170" s="1138">
        <v>267222</v>
      </c>
      <c r="BN170" s="1138">
        <v>0</v>
      </c>
      <c r="BO170" s="1138">
        <v>564324</v>
      </c>
      <c r="BP170" s="1138">
        <v>242922</v>
      </c>
      <c r="BQ170" s="1138">
        <v>260208</v>
      </c>
      <c r="BR170" s="1138">
        <v>105326</v>
      </c>
      <c r="BS170" s="1138">
        <v>0</v>
      </c>
      <c r="BT170" s="1138">
        <v>0</v>
      </c>
      <c r="BU170" s="1138">
        <v>60509</v>
      </c>
      <c r="BV170" s="1138">
        <v>472759</v>
      </c>
      <c r="BW170" s="1138">
        <v>133784</v>
      </c>
      <c r="BX170" s="1138">
        <v>33834</v>
      </c>
      <c r="BY170" s="1138">
        <v>0</v>
      </c>
      <c r="BZ170" s="1138">
        <v>0</v>
      </c>
      <c r="CA170" s="1138">
        <v>1194658</v>
      </c>
      <c r="CB170" s="1138">
        <v>0</v>
      </c>
    </row>
    <row r="171" spans="1:80" x14ac:dyDescent="0.3">
      <c r="A171" s="269">
        <v>521</v>
      </c>
      <c r="B171" s="1002">
        <v>521</v>
      </c>
      <c r="C171" s="269" t="s">
        <v>283</v>
      </c>
      <c r="D171" s="269" t="s">
        <v>488</v>
      </c>
      <c r="E171" s="1138">
        <v>0</v>
      </c>
      <c r="F171" s="1138">
        <v>0</v>
      </c>
      <c r="G171" s="1138">
        <v>0</v>
      </c>
      <c r="H171" s="1138">
        <v>0</v>
      </c>
      <c r="I171" s="1138">
        <v>0</v>
      </c>
      <c r="J171" s="1138">
        <v>0</v>
      </c>
      <c r="K171" s="1138">
        <v>0</v>
      </c>
      <c r="L171" s="1138">
        <v>0</v>
      </c>
      <c r="M171" s="1138">
        <v>0</v>
      </c>
      <c r="N171" s="1138">
        <v>0</v>
      </c>
      <c r="O171" s="1138">
        <v>0</v>
      </c>
      <c r="P171" s="1138">
        <v>0</v>
      </c>
      <c r="Q171" s="1138">
        <v>0</v>
      </c>
      <c r="R171" s="1138">
        <v>0</v>
      </c>
      <c r="S171" s="1138">
        <v>0</v>
      </c>
      <c r="T171" s="1138">
        <v>0</v>
      </c>
      <c r="U171" s="1138">
        <v>0</v>
      </c>
      <c r="V171" s="1138">
        <v>21766</v>
      </c>
      <c r="W171" s="1138">
        <v>0</v>
      </c>
      <c r="X171" s="1138">
        <v>0</v>
      </c>
      <c r="Y171" s="1138">
        <v>0</v>
      </c>
      <c r="Z171" s="1138">
        <v>0</v>
      </c>
      <c r="AA171" s="1138">
        <v>0</v>
      </c>
      <c r="AB171" s="1138">
        <v>0</v>
      </c>
      <c r="AC171" s="1138">
        <v>0</v>
      </c>
      <c r="AD171" s="1138">
        <v>0</v>
      </c>
      <c r="AE171" s="1138">
        <v>0</v>
      </c>
      <c r="AF171" s="1138">
        <v>0</v>
      </c>
      <c r="AG171" s="1138">
        <v>0</v>
      </c>
      <c r="AH171" s="1138">
        <v>0</v>
      </c>
      <c r="AI171" s="1138">
        <v>0</v>
      </c>
      <c r="AJ171" s="1138">
        <v>0</v>
      </c>
      <c r="AK171" s="1138">
        <v>0</v>
      </c>
      <c r="AL171" s="1138">
        <v>0</v>
      </c>
      <c r="AM171" s="1138">
        <v>0</v>
      </c>
      <c r="AN171" s="1138">
        <v>0</v>
      </c>
      <c r="AO171" s="1138">
        <v>0</v>
      </c>
      <c r="AP171" s="1138">
        <v>0</v>
      </c>
      <c r="AQ171" s="1138">
        <v>0</v>
      </c>
      <c r="AR171" s="1138">
        <v>0</v>
      </c>
      <c r="AS171" s="1138">
        <v>1838</v>
      </c>
      <c r="AT171" s="1138">
        <v>0</v>
      </c>
      <c r="AU171" s="1138">
        <v>0</v>
      </c>
      <c r="AV171" s="1138">
        <v>0</v>
      </c>
      <c r="AW171" s="1138">
        <v>0</v>
      </c>
      <c r="AX171" s="1138">
        <v>0</v>
      </c>
      <c r="AY171" s="1138">
        <v>0</v>
      </c>
      <c r="AZ171" s="1138">
        <v>0</v>
      </c>
      <c r="BA171" s="1138">
        <v>0</v>
      </c>
      <c r="BB171" s="1138">
        <v>0</v>
      </c>
      <c r="BC171" s="1138">
        <v>0</v>
      </c>
      <c r="BD171" s="1138">
        <v>0</v>
      </c>
      <c r="BE171" s="1138">
        <v>0</v>
      </c>
      <c r="BF171" s="1138">
        <v>0</v>
      </c>
      <c r="BG171" s="1138">
        <v>0</v>
      </c>
      <c r="BH171" s="1138">
        <v>0</v>
      </c>
      <c r="BI171" s="1138">
        <v>0</v>
      </c>
      <c r="BJ171" s="1138">
        <v>0</v>
      </c>
      <c r="BK171" s="1138">
        <v>0</v>
      </c>
      <c r="BL171" s="1138">
        <v>0</v>
      </c>
      <c r="BM171" s="1138">
        <v>0</v>
      </c>
      <c r="BN171" s="1138">
        <v>0</v>
      </c>
      <c r="BO171" s="1138">
        <v>0</v>
      </c>
      <c r="BP171" s="1138">
        <v>0</v>
      </c>
      <c r="BQ171" s="1138">
        <v>0</v>
      </c>
      <c r="BR171" s="1138">
        <v>0</v>
      </c>
      <c r="BS171" s="1138">
        <v>0</v>
      </c>
      <c r="BT171" s="1138">
        <v>0</v>
      </c>
      <c r="BU171" s="1138">
        <v>0</v>
      </c>
      <c r="BV171" s="1138">
        <v>0</v>
      </c>
      <c r="BW171" s="1138">
        <v>0</v>
      </c>
      <c r="BX171" s="1138">
        <v>0</v>
      </c>
      <c r="BY171" s="1138">
        <v>0</v>
      </c>
      <c r="BZ171" s="1138">
        <v>0</v>
      </c>
      <c r="CA171" s="1138">
        <v>0</v>
      </c>
      <c r="CB171" s="1138">
        <v>0</v>
      </c>
    </row>
    <row r="172" spans="1:80" x14ac:dyDescent="0.3">
      <c r="A172" s="269">
        <v>522</v>
      </c>
      <c r="B172" s="1002">
        <v>522</v>
      </c>
      <c r="C172" s="269" t="s">
        <v>284</v>
      </c>
      <c r="D172" s="269" t="s">
        <v>489</v>
      </c>
      <c r="E172" s="1138">
        <v>0</v>
      </c>
      <c r="F172" s="1138">
        <v>0</v>
      </c>
      <c r="G172" s="1138">
        <v>0</v>
      </c>
      <c r="H172" s="1138">
        <v>491580</v>
      </c>
      <c r="I172" s="1138">
        <v>290769</v>
      </c>
      <c r="J172" s="1138">
        <v>3736</v>
      </c>
      <c r="K172" s="1138">
        <v>24937</v>
      </c>
      <c r="L172" s="1138">
        <v>0</v>
      </c>
      <c r="M172" s="1138">
        <v>485804</v>
      </c>
      <c r="N172" s="1138">
        <v>0</v>
      </c>
      <c r="O172" s="1138">
        <v>28770</v>
      </c>
      <c r="P172" s="1138">
        <v>52212</v>
      </c>
      <c r="Q172" s="1138">
        <v>0</v>
      </c>
      <c r="R172" s="1138">
        <v>165069</v>
      </c>
      <c r="S172" s="1138">
        <v>93836</v>
      </c>
      <c r="T172" s="1138">
        <v>1494199</v>
      </c>
      <c r="U172" s="1138">
        <v>0</v>
      </c>
      <c r="V172" s="1138">
        <v>387808</v>
      </c>
      <c r="W172" s="1138">
        <v>0</v>
      </c>
      <c r="X172" s="1138">
        <v>0</v>
      </c>
      <c r="Y172" s="1138">
        <v>0</v>
      </c>
      <c r="Z172" s="1138">
        <v>58267</v>
      </c>
      <c r="AA172" s="1138">
        <v>75459</v>
      </c>
      <c r="AB172" s="1138">
        <v>6995</v>
      </c>
      <c r="AC172" s="1138">
        <v>0</v>
      </c>
      <c r="AD172" s="1138">
        <v>769</v>
      </c>
      <c r="AE172" s="1138">
        <v>16025</v>
      </c>
      <c r="AF172" s="1138">
        <v>146205</v>
      </c>
      <c r="AG172" s="1138">
        <v>0</v>
      </c>
      <c r="AH172" s="1138">
        <v>0</v>
      </c>
      <c r="AI172" s="1138">
        <v>0</v>
      </c>
      <c r="AJ172" s="1138">
        <v>10705</v>
      </c>
      <c r="AK172" s="1138">
        <v>283139</v>
      </c>
      <c r="AL172" s="1138">
        <v>0</v>
      </c>
      <c r="AM172" s="1138">
        <v>0</v>
      </c>
      <c r="AN172" s="1138">
        <v>375767</v>
      </c>
      <c r="AO172" s="1138">
        <v>225000</v>
      </c>
      <c r="AP172" s="1138">
        <v>7089</v>
      </c>
      <c r="AQ172" s="1138">
        <v>0</v>
      </c>
      <c r="AR172" s="1138">
        <v>193660</v>
      </c>
      <c r="AS172" s="1138">
        <v>41772</v>
      </c>
      <c r="AT172" s="1138">
        <v>606</v>
      </c>
      <c r="AU172" s="1138">
        <v>58512</v>
      </c>
      <c r="AV172" s="1138">
        <v>202757</v>
      </c>
      <c r="AW172" s="1138">
        <v>0</v>
      </c>
      <c r="AX172" s="1138">
        <v>39803</v>
      </c>
      <c r="AY172" s="1138">
        <v>12062</v>
      </c>
      <c r="AZ172" s="1138">
        <v>9996</v>
      </c>
      <c r="BA172" s="1138">
        <v>78127</v>
      </c>
      <c r="BB172" s="1138">
        <v>0</v>
      </c>
      <c r="BC172" s="1138">
        <v>0</v>
      </c>
      <c r="BD172" s="1138">
        <v>0</v>
      </c>
      <c r="BE172" s="1138">
        <v>0</v>
      </c>
      <c r="BF172" s="1138">
        <v>0</v>
      </c>
      <c r="BG172" s="1138">
        <v>2476</v>
      </c>
      <c r="BH172" s="1138">
        <v>0</v>
      </c>
      <c r="BI172" s="1138">
        <v>8701</v>
      </c>
      <c r="BJ172" s="1138">
        <v>17600</v>
      </c>
      <c r="BK172" s="1138">
        <v>0</v>
      </c>
      <c r="BL172" s="1138">
        <v>34334</v>
      </c>
      <c r="BM172" s="1138">
        <v>43036</v>
      </c>
      <c r="BN172" s="1138">
        <v>0</v>
      </c>
      <c r="BO172" s="1138">
        <v>196711</v>
      </c>
      <c r="BP172" s="1138">
        <v>24227</v>
      </c>
      <c r="BQ172" s="1138">
        <v>12642</v>
      </c>
      <c r="BR172" s="1138">
        <v>52901</v>
      </c>
      <c r="BS172" s="1138">
        <v>0</v>
      </c>
      <c r="BT172" s="1138">
        <v>0</v>
      </c>
      <c r="BU172" s="1138">
        <v>81741</v>
      </c>
      <c r="BV172" s="1138">
        <v>86781</v>
      </c>
      <c r="BW172" s="1138">
        <v>9290</v>
      </c>
      <c r="BX172" s="1138">
        <v>0</v>
      </c>
      <c r="BY172" s="1138">
        <v>0</v>
      </c>
      <c r="BZ172" s="1138">
        <v>0</v>
      </c>
      <c r="CA172" s="1138">
        <v>161184</v>
      </c>
      <c r="CB172" s="1138">
        <v>0</v>
      </c>
    </row>
    <row r="173" spans="1:80" x14ac:dyDescent="0.3">
      <c r="A173" s="269">
        <v>523</v>
      </c>
      <c r="B173" s="1002">
        <v>523</v>
      </c>
      <c r="C173" s="269" t="s">
        <v>285</v>
      </c>
      <c r="D173" s="269" t="s">
        <v>490</v>
      </c>
      <c r="E173" s="1138">
        <v>0</v>
      </c>
      <c r="F173" s="1138">
        <v>0</v>
      </c>
      <c r="G173" s="1138">
        <v>0</v>
      </c>
      <c r="H173" s="1138">
        <v>87271232</v>
      </c>
      <c r="I173" s="1138">
        <v>124376</v>
      </c>
      <c r="J173" s="1138">
        <v>0</v>
      </c>
      <c r="K173" s="1138">
        <v>0</v>
      </c>
      <c r="L173" s="1138">
        <v>0</v>
      </c>
      <c r="M173" s="1138">
        <v>9879360</v>
      </c>
      <c r="N173" s="1138">
        <v>0</v>
      </c>
      <c r="O173" s="1138">
        <v>0</v>
      </c>
      <c r="P173" s="1138">
        <v>3787</v>
      </c>
      <c r="Q173" s="1138">
        <v>0</v>
      </c>
      <c r="R173" s="1138">
        <v>388147</v>
      </c>
      <c r="S173" s="1138">
        <v>310661</v>
      </c>
      <c r="T173" s="1138">
        <v>12609296</v>
      </c>
      <c r="U173" s="1138">
        <v>0</v>
      </c>
      <c r="V173" s="1138">
        <v>13644945</v>
      </c>
      <c r="W173" s="1138">
        <v>0</v>
      </c>
      <c r="X173" s="1138">
        <v>0</v>
      </c>
      <c r="Y173" s="1138">
        <v>0</v>
      </c>
      <c r="Z173" s="1138">
        <v>94008</v>
      </c>
      <c r="AA173" s="1138">
        <v>0</v>
      </c>
      <c r="AB173" s="1138">
        <v>0</v>
      </c>
      <c r="AC173" s="1138">
        <v>0</v>
      </c>
      <c r="AD173" s="1138">
        <v>0</v>
      </c>
      <c r="AE173" s="1138">
        <v>0</v>
      </c>
      <c r="AF173" s="1138">
        <v>113262</v>
      </c>
      <c r="AG173" s="1138">
        <v>0</v>
      </c>
      <c r="AH173" s="1138">
        <v>0</v>
      </c>
      <c r="AI173" s="1138">
        <v>0</v>
      </c>
      <c r="AJ173" s="1138">
        <v>0</v>
      </c>
      <c r="AK173" s="1138">
        <v>0</v>
      </c>
      <c r="AL173" s="1138">
        <v>73000</v>
      </c>
      <c r="AM173" s="1138">
        <v>0</v>
      </c>
      <c r="AN173" s="1138">
        <v>0</v>
      </c>
      <c r="AO173" s="1138">
        <v>0</v>
      </c>
      <c r="AP173" s="1138">
        <v>0</v>
      </c>
      <c r="AQ173" s="1138">
        <v>0</v>
      </c>
      <c r="AR173" s="1138">
        <v>301616</v>
      </c>
      <c r="AS173" s="1138">
        <v>320232</v>
      </c>
      <c r="AT173" s="1138">
        <v>9919</v>
      </c>
      <c r="AU173" s="1138">
        <v>158988</v>
      </c>
      <c r="AV173" s="1138">
        <v>6918412</v>
      </c>
      <c r="AW173" s="1138">
        <v>69043</v>
      </c>
      <c r="AX173" s="1138">
        <v>11199</v>
      </c>
      <c r="AY173" s="1138">
        <v>0</v>
      </c>
      <c r="AZ173" s="1138">
        <v>0</v>
      </c>
      <c r="BA173" s="1138">
        <v>166868</v>
      </c>
      <c r="BB173" s="1138">
        <v>0</v>
      </c>
      <c r="BC173" s="1138">
        <v>0</v>
      </c>
      <c r="BD173" s="1138">
        <v>0</v>
      </c>
      <c r="BE173" s="1138">
        <v>0</v>
      </c>
      <c r="BF173" s="1138">
        <v>0</v>
      </c>
      <c r="BG173" s="1138">
        <v>0</v>
      </c>
      <c r="BH173" s="1138">
        <v>0</v>
      </c>
      <c r="BI173" s="1138">
        <v>0</v>
      </c>
      <c r="BJ173" s="1138">
        <v>0</v>
      </c>
      <c r="BK173" s="1138">
        <v>0</v>
      </c>
      <c r="BL173" s="1138">
        <v>295</v>
      </c>
      <c r="BM173" s="1138">
        <v>0</v>
      </c>
      <c r="BN173" s="1138">
        <v>0</v>
      </c>
      <c r="BO173" s="1138">
        <v>5100310</v>
      </c>
      <c r="BP173" s="1138">
        <v>175737</v>
      </c>
      <c r="BQ173" s="1138">
        <v>0</v>
      </c>
      <c r="BR173" s="1138">
        <v>237354</v>
      </c>
      <c r="BS173" s="1138">
        <v>0</v>
      </c>
      <c r="BT173" s="1138">
        <v>0</v>
      </c>
      <c r="BU173" s="1138">
        <v>139019</v>
      </c>
      <c r="BV173" s="1138">
        <v>0</v>
      </c>
      <c r="BW173" s="1138">
        <v>0</v>
      </c>
      <c r="BX173" s="1138">
        <v>0</v>
      </c>
      <c r="BY173" s="1138">
        <v>0</v>
      </c>
      <c r="BZ173" s="1138">
        <v>0</v>
      </c>
      <c r="CA173" s="1138">
        <v>3449470</v>
      </c>
      <c r="CB173" s="1138">
        <v>0</v>
      </c>
    </row>
    <row r="174" spans="1:80" x14ac:dyDescent="0.3">
      <c r="A174" s="269">
        <v>524</v>
      </c>
      <c r="B174" s="1002">
        <v>524</v>
      </c>
      <c r="C174" s="269" t="s">
        <v>286</v>
      </c>
      <c r="D174" s="269" t="s">
        <v>491</v>
      </c>
      <c r="E174" s="1138">
        <v>0</v>
      </c>
      <c r="F174" s="1138">
        <v>0</v>
      </c>
      <c r="G174" s="1138">
        <v>0</v>
      </c>
      <c r="H174" s="1138">
        <v>76175518</v>
      </c>
      <c r="I174" s="1138">
        <v>6313142</v>
      </c>
      <c r="J174" s="1138">
        <v>1600500</v>
      </c>
      <c r="K174" s="1138">
        <v>5299449</v>
      </c>
      <c r="L174" s="1138">
        <v>2496670</v>
      </c>
      <c r="M174" s="1138">
        <v>36737425</v>
      </c>
      <c r="N174" s="1138">
        <v>0</v>
      </c>
      <c r="O174" s="1138">
        <v>3303092</v>
      </c>
      <c r="P174" s="1138">
        <v>2742226</v>
      </c>
      <c r="Q174" s="1138">
        <v>0</v>
      </c>
      <c r="R174" s="1138">
        <v>10202612</v>
      </c>
      <c r="S174" s="1138">
        <v>14184451</v>
      </c>
      <c r="T174" s="1138">
        <v>5343305</v>
      </c>
      <c r="U174" s="1138">
        <v>0</v>
      </c>
      <c r="V174" s="1138">
        <v>34521855</v>
      </c>
      <c r="W174" s="1138">
        <v>0</v>
      </c>
      <c r="X174" s="1138">
        <v>0</v>
      </c>
      <c r="Y174" s="1138">
        <v>0</v>
      </c>
      <c r="Z174" s="1138">
        <v>3927906</v>
      </c>
      <c r="AA174" s="1138">
        <v>8434406</v>
      </c>
      <c r="AB174" s="1138">
        <v>3674143</v>
      </c>
      <c r="AC174" s="1138">
        <v>0</v>
      </c>
      <c r="AD174" s="1138">
        <v>706950</v>
      </c>
      <c r="AE174" s="1138">
        <v>6253509</v>
      </c>
      <c r="AF174" s="1138">
        <v>8338032</v>
      </c>
      <c r="AG174" s="1138">
        <v>647416</v>
      </c>
      <c r="AH174" s="1138">
        <v>0</v>
      </c>
      <c r="AI174" s="1138">
        <v>0</v>
      </c>
      <c r="AJ174" s="1138">
        <v>1403626</v>
      </c>
      <c r="AK174" s="1138">
        <v>29912616</v>
      </c>
      <c r="AL174" s="1138">
        <v>684262</v>
      </c>
      <c r="AM174" s="1138">
        <v>0</v>
      </c>
      <c r="AN174" s="1138">
        <v>11942408</v>
      </c>
      <c r="AO174" s="1138">
        <v>26795778</v>
      </c>
      <c r="AP174" s="1138">
        <v>1159973</v>
      </c>
      <c r="AQ174" s="1138">
        <v>0</v>
      </c>
      <c r="AR174" s="1138">
        <v>38030324</v>
      </c>
      <c r="AS174" s="1138">
        <v>5733613</v>
      </c>
      <c r="AT174" s="1138">
        <v>1478867</v>
      </c>
      <c r="AU174" s="1138">
        <v>2991562</v>
      </c>
      <c r="AV174" s="1138">
        <v>28775802</v>
      </c>
      <c r="AW174" s="1138">
        <v>1117970</v>
      </c>
      <c r="AX174" s="1138">
        <v>3130470</v>
      </c>
      <c r="AY174" s="1138">
        <v>4440215</v>
      </c>
      <c r="AZ174" s="1138">
        <v>9685241</v>
      </c>
      <c r="BA174" s="1138">
        <v>11208851</v>
      </c>
      <c r="BB174" s="1138">
        <v>0</v>
      </c>
      <c r="BC174" s="1138">
        <v>0</v>
      </c>
      <c r="BD174" s="1138">
        <v>0</v>
      </c>
      <c r="BE174" s="1138">
        <v>0</v>
      </c>
      <c r="BF174" s="1138">
        <v>0</v>
      </c>
      <c r="BG174" s="1138">
        <v>2449772</v>
      </c>
      <c r="BH174" s="1138">
        <v>0</v>
      </c>
      <c r="BI174" s="1138">
        <v>6974310</v>
      </c>
      <c r="BJ174" s="1138">
        <v>2939028</v>
      </c>
      <c r="BK174" s="1138">
        <v>0</v>
      </c>
      <c r="BL174" s="1138">
        <v>9684837</v>
      </c>
      <c r="BM174" s="1138">
        <v>5883420</v>
      </c>
      <c r="BN174" s="1138">
        <v>0</v>
      </c>
      <c r="BO174" s="1138">
        <v>9237936</v>
      </c>
      <c r="BP174" s="1138">
        <v>7003333</v>
      </c>
      <c r="BQ174" s="1138">
        <v>7117157</v>
      </c>
      <c r="BR174" s="1138">
        <v>2118055</v>
      </c>
      <c r="BS174" s="1138">
        <v>0</v>
      </c>
      <c r="BT174" s="1138">
        <v>0</v>
      </c>
      <c r="BU174" s="1138">
        <v>1422424</v>
      </c>
      <c r="BV174" s="1138">
        <v>9439135</v>
      </c>
      <c r="BW174" s="1138">
        <v>2087309</v>
      </c>
      <c r="BX174" s="1138">
        <v>425103</v>
      </c>
      <c r="BY174" s="1138">
        <v>0</v>
      </c>
      <c r="BZ174" s="1138">
        <v>0</v>
      </c>
      <c r="CA174" s="1138">
        <v>14965650</v>
      </c>
      <c r="CB174" s="1138">
        <v>0</v>
      </c>
    </row>
    <row r="175" spans="1:80" x14ac:dyDescent="0.3">
      <c r="A175" s="269">
        <v>525</v>
      </c>
      <c r="B175" s="1002">
        <v>525</v>
      </c>
      <c r="C175" s="269" t="s">
        <v>287</v>
      </c>
      <c r="D175" s="269" t="s">
        <v>492</v>
      </c>
      <c r="E175" s="1138">
        <v>0</v>
      </c>
      <c r="F175" s="1138">
        <v>0</v>
      </c>
      <c r="G175" s="1138">
        <v>0</v>
      </c>
      <c r="H175" s="1138">
        <v>0</v>
      </c>
      <c r="I175" s="1138">
        <v>0</v>
      </c>
      <c r="J175" s="1138">
        <v>0</v>
      </c>
      <c r="K175" s="1138">
        <v>0</v>
      </c>
      <c r="L175" s="1138">
        <v>0</v>
      </c>
      <c r="M175" s="1138">
        <v>0</v>
      </c>
      <c r="N175" s="1138">
        <v>0</v>
      </c>
      <c r="O175" s="1138">
        <v>0</v>
      </c>
      <c r="P175" s="1138">
        <v>0</v>
      </c>
      <c r="Q175" s="1138">
        <v>0</v>
      </c>
      <c r="R175" s="1138">
        <v>0</v>
      </c>
      <c r="S175" s="1138">
        <v>0</v>
      </c>
      <c r="T175" s="1138">
        <v>0</v>
      </c>
      <c r="U175" s="1138">
        <v>0</v>
      </c>
      <c r="V175" s="1138">
        <v>165211</v>
      </c>
      <c r="W175" s="1138">
        <v>0</v>
      </c>
      <c r="X175" s="1138">
        <v>0</v>
      </c>
      <c r="Y175" s="1138">
        <v>0</v>
      </c>
      <c r="Z175" s="1138">
        <v>0</v>
      </c>
      <c r="AA175" s="1138">
        <v>0</v>
      </c>
      <c r="AB175" s="1138">
        <v>0</v>
      </c>
      <c r="AC175" s="1138">
        <v>0</v>
      </c>
      <c r="AD175" s="1138">
        <v>0</v>
      </c>
      <c r="AE175" s="1138">
        <v>0</v>
      </c>
      <c r="AF175" s="1138">
        <v>0</v>
      </c>
      <c r="AG175" s="1138">
        <v>0</v>
      </c>
      <c r="AH175" s="1138">
        <v>0</v>
      </c>
      <c r="AI175" s="1138">
        <v>0</v>
      </c>
      <c r="AJ175" s="1138">
        <v>0</v>
      </c>
      <c r="AK175" s="1138">
        <v>0</v>
      </c>
      <c r="AL175" s="1138">
        <v>0</v>
      </c>
      <c r="AM175" s="1138">
        <v>0</v>
      </c>
      <c r="AN175" s="1138">
        <v>0</v>
      </c>
      <c r="AO175" s="1138">
        <v>0</v>
      </c>
      <c r="AP175" s="1138">
        <v>0</v>
      </c>
      <c r="AQ175" s="1138">
        <v>0</v>
      </c>
      <c r="AR175" s="1138">
        <v>0</v>
      </c>
      <c r="AS175" s="1138">
        <v>47675</v>
      </c>
      <c r="AT175" s="1138">
        <v>0</v>
      </c>
      <c r="AU175" s="1138">
        <v>0</v>
      </c>
      <c r="AV175" s="1138">
        <v>0</v>
      </c>
      <c r="AW175" s="1138">
        <v>0</v>
      </c>
      <c r="AX175" s="1138">
        <v>0</v>
      </c>
      <c r="AY175" s="1138">
        <v>0</v>
      </c>
      <c r="AZ175" s="1138">
        <v>0</v>
      </c>
      <c r="BA175" s="1138">
        <v>0</v>
      </c>
      <c r="BB175" s="1138">
        <v>0</v>
      </c>
      <c r="BC175" s="1138">
        <v>0</v>
      </c>
      <c r="BD175" s="1138">
        <v>0</v>
      </c>
      <c r="BE175" s="1138">
        <v>0</v>
      </c>
      <c r="BF175" s="1138">
        <v>0</v>
      </c>
      <c r="BG175" s="1138">
        <v>0</v>
      </c>
      <c r="BH175" s="1138">
        <v>0</v>
      </c>
      <c r="BI175" s="1138">
        <v>0</v>
      </c>
      <c r="BJ175" s="1138">
        <v>0</v>
      </c>
      <c r="BK175" s="1138">
        <v>0</v>
      </c>
      <c r="BL175" s="1138">
        <v>0</v>
      </c>
      <c r="BM175" s="1138">
        <v>0</v>
      </c>
      <c r="BN175" s="1138">
        <v>0</v>
      </c>
      <c r="BO175" s="1138">
        <v>0</v>
      </c>
      <c r="BP175" s="1138">
        <v>0</v>
      </c>
      <c r="BQ175" s="1138">
        <v>0</v>
      </c>
      <c r="BR175" s="1138">
        <v>0</v>
      </c>
      <c r="BS175" s="1138">
        <v>0</v>
      </c>
      <c r="BT175" s="1138">
        <v>0</v>
      </c>
      <c r="BU175" s="1138">
        <v>0</v>
      </c>
      <c r="BV175" s="1138">
        <v>0</v>
      </c>
      <c r="BW175" s="1138">
        <v>0</v>
      </c>
      <c r="BX175" s="1138">
        <v>0</v>
      </c>
      <c r="BY175" s="1138">
        <v>0</v>
      </c>
      <c r="BZ175" s="1138">
        <v>0</v>
      </c>
      <c r="CA175" s="1138">
        <v>0</v>
      </c>
      <c r="CB175" s="1138">
        <v>0</v>
      </c>
    </row>
    <row r="176" spans="1:80" x14ac:dyDescent="0.3">
      <c r="A176" s="269">
        <v>526</v>
      </c>
      <c r="B176" s="1002">
        <v>526</v>
      </c>
      <c r="C176" s="269" t="s">
        <v>288</v>
      </c>
      <c r="D176" s="269" t="s">
        <v>493</v>
      </c>
      <c r="E176" s="1138">
        <v>0</v>
      </c>
      <c r="F176" s="1138">
        <v>0</v>
      </c>
      <c r="G176" s="1138">
        <v>0</v>
      </c>
      <c r="H176" s="1138">
        <v>8295340</v>
      </c>
      <c r="I176" s="1138">
        <v>3940726</v>
      </c>
      <c r="J176" s="1138">
        <v>62017</v>
      </c>
      <c r="K176" s="1138">
        <v>275740</v>
      </c>
      <c r="L176" s="1138">
        <v>0</v>
      </c>
      <c r="M176" s="1138">
        <v>2593481</v>
      </c>
      <c r="N176" s="1138">
        <v>0</v>
      </c>
      <c r="O176" s="1138">
        <v>345732</v>
      </c>
      <c r="P176" s="1138">
        <v>1517772</v>
      </c>
      <c r="Q176" s="1138">
        <v>0</v>
      </c>
      <c r="R176" s="1138">
        <v>1705490</v>
      </c>
      <c r="S176" s="1138">
        <v>1426359</v>
      </c>
      <c r="T176" s="1138">
        <v>42179600</v>
      </c>
      <c r="U176" s="1138">
        <v>0</v>
      </c>
      <c r="V176" s="1138">
        <v>4798682</v>
      </c>
      <c r="W176" s="1138">
        <v>0</v>
      </c>
      <c r="X176" s="1138">
        <v>0</v>
      </c>
      <c r="Y176" s="1138">
        <v>0</v>
      </c>
      <c r="Z176" s="1138">
        <v>656047</v>
      </c>
      <c r="AA176" s="1138">
        <v>874802</v>
      </c>
      <c r="AB176" s="1138">
        <v>426471</v>
      </c>
      <c r="AC176" s="1138">
        <v>0</v>
      </c>
      <c r="AD176" s="1138">
        <v>45887</v>
      </c>
      <c r="AE176" s="1138">
        <v>316271</v>
      </c>
      <c r="AF176" s="1138">
        <v>642685</v>
      </c>
      <c r="AG176" s="1138">
        <v>11089</v>
      </c>
      <c r="AH176" s="1138">
        <v>0</v>
      </c>
      <c r="AI176" s="1138">
        <v>0</v>
      </c>
      <c r="AJ176" s="1138">
        <v>103545</v>
      </c>
      <c r="AK176" s="1138">
        <v>3383119</v>
      </c>
      <c r="AL176" s="1138">
        <v>127644</v>
      </c>
      <c r="AM176" s="1138">
        <v>0</v>
      </c>
      <c r="AN176" s="1138">
        <v>3612665</v>
      </c>
      <c r="AO176" s="1138">
        <v>4032319</v>
      </c>
      <c r="AP176" s="1138">
        <v>26850</v>
      </c>
      <c r="AQ176" s="1138">
        <v>0</v>
      </c>
      <c r="AR176" s="1138">
        <v>1404570</v>
      </c>
      <c r="AS176" s="1138">
        <v>484075</v>
      </c>
      <c r="AT176" s="1138">
        <v>80188</v>
      </c>
      <c r="AU176" s="1138">
        <v>576079</v>
      </c>
      <c r="AV176" s="1138">
        <v>7593304</v>
      </c>
      <c r="AW176" s="1138">
        <v>20572</v>
      </c>
      <c r="AX176" s="1138">
        <v>184709</v>
      </c>
      <c r="AY176" s="1138">
        <v>77624</v>
      </c>
      <c r="AZ176" s="1138">
        <v>458820</v>
      </c>
      <c r="BA176" s="1138">
        <v>2554109</v>
      </c>
      <c r="BB176" s="1138">
        <v>0</v>
      </c>
      <c r="BC176" s="1138">
        <v>0</v>
      </c>
      <c r="BD176" s="1138">
        <v>0</v>
      </c>
      <c r="BE176" s="1138">
        <v>0</v>
      </c>
      <c r="BF176" s="1138">
        <v>0</v>
      </c>
      <c r="BG176" s="1138">
        <v>194087</v>
      </c>
      <c r="BH176" s="1138">
        <v>0</v>
      </c>
      <c r="BI176" s="1138">
        <v>1004745</v>
      </c>
      <c r="BJ176" s="1138">
        <v>217351</v>
      </c>
      <c r="BK176" s="1138">
        <v>0</v>
      </c>
      <c r="BL176" s="1138">
        <v>1616338</v>
      </c>
      <c r="BM176" s="1138">
        <v>360362</v>
      </c>
      <c r="BN176" s="1138">
        <v>0</v>
      </c>
      <c r="BO176" s="1138">
        <v>3073645</v>
      </c>
      <c r="BP176" s="1138">
        <v>385954</v>
      </c>
      <c r="BQ176" s="1138">
        <v>87628</v>
      </c>
      <c r="BR176" s="1138">
        <v>600933</v>
      </c>
      <c r="BS176" s="1138">
        <v>0</v>
      </c>
      <c r="BT176" s="1138">
        <v>0</v>
      </c>
      <c r="BU176" s="1138">
        <v>2110200</v>
      </c>
      <c r="BV176" s="1138">
        <v>794298</v>
      </c>
      <c r="BW176" s="1138">
        <v>302792</v>
      </c>
      <c r="BX176" s="1138">
        <v>0</v>
      </c>
      <c r="BY176" s="1138">
        <v>0</v>
      </c>
      <c r="BZ176" s="1138">
        <v>0</v>
      </c>
      <c r="CA176" s="1138">
        <v>1155172</v>
      </c>
      <c r="CB176" s="1138">
        <v>0</v>
      </c>
    </row>
    <row r="177" spans="1:80" x14ac:dyDescent="0.3">
      <c r="A177" s="269">
        <v>527</v>
      </c>
      <c r="B177" s="1002">
        <v>527</v>
      </c>
      <c r="C177" s="269" t="s">
        <v>289</v>
      </c>
      <c r="D177" s="269" t="s">
        <v>494</v>
      </c>
      <c r="E177" s="1138">
        <v>0</v>
      </c>
      <c r="F177" s="1138">
        <v>0</v>
      </c>
      <c r="G177" s="1138">
        <v>0</v>
      </c>
      <c r="H177" s="1138">
        <v>0</v>
      </c>
      <c r="I177" s="1138">
        <v>0</v>
      </c>
      <c r="J177" s="1138">
        <v>0</v>
      </c>
      <c r="K177" s="1138">
        <v>0</v>
      </c>
      <c r="L177" s="1138">
        <v>0</v>
      </c>
      <c r="M177" s="1138">
        <v>0</v>
      </c>
      <c r="N177" s="1138">
        <v>0</v>
      </c>
      <c r="O177" s="1138">
        <v>0</v>
      </c>
      <c r="P177" s="1138">
        <v>0</v>
      </c>
      <c r="Q177" s="1138">
        <v>0</v>
      </c>
      <c r="R177" s="1138">
        <v>0</v>
      </c>
      <c r="S177" s="1138">
        <v>0</v>
      </c>
      <c r="T177" s="1138">
        <v>39890</v>
      </c>
      <c r="U177" s="1138">
        <v>0</v>
      </c>
      <c r="V177" s="1138">
        <v>9839461</v>
      </c>
      <c r="W177" s="1138">
        <v>0</v>
      </c>
      <c r="X177" s="1138">
        <v>0</v>
      </c>
      <c r="Y177" s="1138">
        <v>0</v>
      </c>
      <c r="Z177" s="1138">
        <v>0</v>
      </c>
      <c r="AA177" s="1138">
        <v>6000</v>
      </c>
      <c r="AB177" s="1138">
        <v>517285</v>
      </c>
      <c r="AC177" s="1138">
        <v>0</v>
      </c>
      <c r="AD177" s="1138">
        <v>0</v>
      </c>
      <c r="AE177" s="1138">
        <v>0</v>
      </c>
      <c r="AF177" s="1138">
        <v>1</v>
      </c>
      <c r="AG177" s="1138">
        <v>0</v>
      </c>
      <c r="AH177" s="1138">
        <v>0</v>
      </c>
      <c r="AI177" s="1138">
        <v>0</v>
      </c>
      <c r="AJ177" s="1138">
        <v>0</v>
      </c>
      <c r="AK177" s="1138">
        <v>154477</v>
      </c>
      <c r="AL177" s="1138">
        <v>0</v>
      </c>
      <c r="AM177" s="1138">
        <v>0</v>
      </c>
      <c r="AN177" s="1138">
        <v>0</v>
      </c>
      <c r="AO177" s="1138">
        <v>0</v>
      </c>
      <c r="AP177" s="1138">
        <v>0</v>
      </c>
      <c r="AQ177" s="1138">
        <v>0</v>
      </c>
      <c r="AR177" s="1138">
        <v>637286</v>
      </c>
      <c r="AS177" s="1138">
        <v>0</v>
      </c>
      <c r="AT177" s="1138">
        <v>0</v>
      </c>
      <c r="AU177" s="1138">
        <v>0</v>
      </c>
      <c r="AV177" s="1138">
        <v>403163</v>
      </c>
      <c r="AW177" s="1138">
        <v>0</v>
      </c>
      <c r="AX177" s="1138">
        <v>0</v>
      </c>
      <c r="AY177" s="1138">
        <v>0</v>
      </c>
      <c r="AZ177" s="1138">
        <v>0</v>
      </c>
      <c r="BA177" s="1138">
        <v>705285</v>
      </c>
      <c r="BB177" s="1138">
        <v>0</v>
      </c>
      <c r="BC177" s="1138">
        <v>0</v>
      </c>
      <c r="BD177" s="1138">
        <v>0</v>
      </c>
      <c r="BE177" s="1138">
        <v>0</v>
      </c>
      <c r="BF177" s="1138">
        <v>0</v>
      </c>
      <c r="BG177" s="1138">
        <v>0</v>
      </c>
      <c r="BH177" s="1138">
        <v>0</v>
      </c>
      <c r="BI177" s="1138">
        <v>0</v>
      </c>
      <c r="BJ177" s="1138">
        <v>0</v>
      </c>
      <c r="BK177" s="1138">
        <v>0</v>
      </c>
      <c r="BL177" s="1138">
        <v>19800</v>
      </c>
      <c r="BM177" s="1138">
        <v>0</v>
      </c>
      <c r="BN177" s="1138">
        <v>0</v>
      </c>
      <c r="BO177" s="1138">
        <v>0</v>
      </c>
      <c r="BP177" s="1138">
        <v>0</v>
      </c>
      <c r="BQ177" s="1138">
        <v>0</v>
      </c>
      <c r="BR177" s="1138">
        <v>0</v>
      </c>
      <c r="BS177" s="1138">
        <v>0</v>
      </c>
      <c r="BT177" s="1138">
        <v>0</v>
      </c>
      <c r="BU177" s="1138">
        <v>0</v>
      </c>
      <c r="BV177" s="1138">
        <v>0</v>
      </c>
      <c r="BW177" s="1138">
        <v>0</v>
      </c>
      <c r="BX177" s="1138">
        <v>0</v>
      </c>
      <c r="BY177" s="1138">
        <v>0</v>
      </c>
      <c r="BZ177" s="1138">
        <v>0</v>
      </c>
      <c r="CA177" s="1138">
        <v>0</v>
      </c>
      <c r="CB177" s="1138">
        <v>0</v>
      </c>
    </row>
    <row r="178" spans="1:80" x14ac:dyDescent="0.3">
      <c r="A178" s="269">
        <v>528</v>
      </c>
      <c r="B178" s="1002">
        <v>528</v>
      </c>
      <c r="C178" s="269" t="s">
        <v>271</v>
      </c>
      <c r="D178" s="269" t="s">
        <v>495</v>
      </c>
      <c r="E178" s="1138">
        <v>969744</v>
      </c>
      <c r="F178" s="1138">
        <v>6603819</v>
      </c>
      <c r="G178" s="1138">
        <v>0</v>
      </c>
      <c r="H178" s="1138">
        <v>21545967</v>
      </c>
      <c r="I178" s="1138">
        <v>2011677</v>
      </c>
      <c r="J178" s="1138">
        <v>124107</v>
      </c>
      <c r="K178" s="1138">
        <v>570860</v>
      </c>
      <c r="L178" s="1138">
        <v>829548</v>
      </c>
      <c r="M178" s="1138">
        <v>23699912</v>
      </c>
      <c r="N178" s="1138">
        <v>21291</v>
      </c>
      <c r="O178" s="1138">
        <v>327557</v>
      </c>
      <c r="P178" s="1138">
        <v>766767</v>
      </c>
      <c r="Q178" s="1138">
        <v>16305361</v>
      </c>
      <c r="R178" s="1138">
        <v>8029332</v>
      </c>
      <c r="S178" s="1138">
        <v>2437750</v>
      </c>
      <c r="T178" s="1138">
        <v>7220030</v>
      </c>
      <c r="U178" s="1138">
        <v>0</v>
      </c>
      <c r="V178" s="1138">
        <v>8674595</v>
      </c>
      <c r="W178" s="1138">
        <v>7281</v>
      </c>
      <c r="X178" s="1138">
        <v>3873821</v>
      </c>
      <c r="Y178" s="1138">
        <v>6971260</v>
      </c>
      <c r="Z178" s="1138">
        <v>2856721</v>
      </c>
      <c r="AA178" s="1138">
        <v>606139</v>
      </c>
      <c r="AB178" s="1138">
        <v>3095899</v>
      </c>
      <c r="AC178" s="1138">
        <v>583787</v>
      </c>
      <c r="AD178" s="1138">
        <v>192812</v>
      </c>
      <c r="AE178" s="1138">
        <v>0</v>
      </c>
      <c r="AF178" s="1138">
        <v>1261074</v>
      </c>
      <c r="AG178" s="1138">
        <v>24981</v>
      </c>
      <c r="AH178" s="1138">
        <v>8375</v>
      </c>
      <c r="AI178" s="1138">
        <v>32516</v>
      </c>
      <c r="AJ178" s="1138">
        <v>1540296</v>
      </c>
      <c r="AK178" s="1138">
        <v>3040399</v>
      </c>
      <c r="AL178" s="1138">
        <v>43592</v>
      </c>
      <c r="AM178" s="1138">
        <v>8536</v>
      </c>
      <c r="AN178" s="1138">
        <v>5186100</v>
      </c>
      <c r="AO178" s="1138">
        <v>8129555</v>
      </c>
      <c r="AP178" s="1138">
        <v>112533</v>
      </c>
      <c r="AQ178" s="1138">
        <v>2185822</v>
      </c>
      <c r="AR178" s="1138">
        <v>9383918</v>
      </c>
      <c r="AS178" s="1138">
        <v>1060587</v>
      </c>
      <c r="AT178" s="1138">
        <v>72350</v>
      </c>
      <c r="AU178" s="1138">
        <v>1635881</v>
      </c>
      <c r="AV178" s="1138">
        <v>4475112</v>
      </c>
      <c r="AW178" s="1138">
        <v>24900</v>
      </c>
      <c r="AX178" s="1138">
        <v>199114</v>
      </c>
      <c r="AY178" s="1138">
        <v>1449382</v>
      </c>
      <c r="AZ178" s="1138">
        <v>1442021</v>
      </c>
      <c r="BA178" s="1138">
        <v>1204367</v>
      </c>
      <c r="BB178" s="1138">
        <v>23708</v>
      </c>
      <c r="BC178" s="1138">
        <v>0</v>
      </c>
      <c r="BD178" s="1138">
        <v>0</v>
      </c>
      <c r="BE178" s="1138">
        <v>31252</v>
      </c>
      <c r="BF178" s="1138">
        <v>0</v>
      </c>
      <c r="BG178" s="1138">
        <v>58096</v>
      </c>
      <c r="BH178" s="1138">
        <v>13303</v>
      </c>
      <c r="BI178" s="1138">
        <v>1532170</v>
      </c>
      <c r="BJ178" s="1138">
        <v>1653361</v>
      </c>
      <c r="BK178" s="1138">
        <v>0</v>
      </c>
      <c r="BL178" s="1138">
        <v>6074686</v>
      </c>
      <c r="BM178" s="1138">
        <v>2058883</v>
      </c>
      <c r="BN178" s="1138">
        <v>0</v>
      </c>
      <c r="BO178" s="1138">
        <v>2246427</v>
      </c>
      <c r="BP178" s="1138">
        <v>520493</v>
      </c>
      <c r="BQ178" s="1138">
        <v>423791</v>
      </c>
      <c r="BR178" s="1138">
        <v>893827</v>
      </c>
      <c r="BS178" s="1138">
        <v>556578</v>
      </c>
      <c r="BT178" s="1138">
        <v>11477840</v>
      </c>
      <c r="BU178" s="1138">
        <v>689312</v>
      </c>
      <c r="BV178" s="1138">
        <v>1348702</v>
      </c>
      <c r="BW178" s="1138">
        <v>225535</v>
      </c>
      <c r="BX178" s="1138">
        <v>437346</v>
      </c>
      <c r="BY178" s="1138">
        <v>1840</v>
      </c>
      <c r="BZ178" s="1138">
        <v>8175</v>
      </c>
      <c r="CA178" s="1138">
        <v>9675740</v>
      </c>
      <c r="CB178" s="1138">
        <v>42906</v>
      </c>
    </row>
    <row r="179" spans="1:80" x14ac:dyDescent="0.3">
      <c r="A179" s="269">
        <v>529</v>
      </c>
      <c r="B179" s="1002">
        <v>529</v>
      </c>
      <c r="C179" s="269" t="s">
        <v>272</v>
      </c>
      <c r="D179" s="269" t="s">
        <v>496</v>
      </c>
      <c r="E179" s="1138">
        <v>10902</v>
      </c>
      <c r="F179" s="1138">
        <v>863639</v>
      </c>
      <c r="G179" s="1138">
        <v>0</v>
      </c>
      <c r="H179" s="1138">
        <v>2135749</v>
      </c>
      <c r="I179" s="1138">
        <v>197305</v>
      </c>
      <c r="J179" s="1138">
        <v>23678</v>
      </c>
      <c r="K179" s="1138">
        <v>45059</v>
      </c>
      <c r="L179" s="1138">
        <v>127607</v>
      </c>
      <c r="M179" s="1138">
        <v>2412808</v>
      </c>
      <c r="N179" s="1138">
        <v>4901</v>
      </c>
      <c r="O179" s="1138">
        <v>33696</v>
      </c>
      <c r="P179" s="1138">
        <v>55578</v>
      </c>
      <c r="Q179" s="1138">
        <v>1550822</v>
      </c>
      <c r="R179" s="1138">
        <v>328649</v>
      </c>
      <c r="S179" s="1138">
        <v>258625</v>
      </c>
      <c r="T179" s="1138">
        <v>333673</v>
      </c>
      <c r="U179" s="1138">
        <v>0</v>
      </c>
      <c r="V179" s="1138">
        <v>961605</v>
      </c>
      <c r="W179" s="1138">
        <v>1284</v>
      </c>
      <c r="X179" s="1138">
        <v>187746</v>
      </c>
      <c r="Y179" s="1138">
        <v>687911</v>
      </c>
      <c r="Z179" s="1138">
        <v>84737</v>
      </c>
      <c r="AA179" s="1138">
        <v>99901</v>
      </c>
      <c r="AB179" s="1138">
        <v>56837</v>
      </c>
      <c r="AC179" s="1138">
        <v>84558</v>
      </c>
      <c r="AD179" s="1138">
        <v>2254</v>
      </c>
      <c r="AE179" s="1138">
        <v>27035</v>
      </c>
      <c r="AF179" s="1138">
        <v>149176</v>
      </c>
      <c r="AG179" s="1138">
        <v>3798</v>
      </c>
      <c r="AH179" s="1138">
        <v>1481</v>
      </c>
      <c r="AI179" s="1138">
        <v>5130</v>
      </c>
      <c r="AJ179" s="1138">
        <v>110675</v>
      </c>
      <c r="AK179" s="1138">
        <v>382618</v>
      </c>
      <c r="AL179" s="1138">
        <v>8929</v>
      </c>
      <c r="AM179" s="1138">
        <v>1525</v>
      </c>
      <c r="AN179" s="1138">
        <v>535615</v>
      </c>
      <c r="AO179" s="1138">
        <v>784269</v>
      </c>
      <c r="AP179" s="1138">
        <v>17528</v>
      </c>
      <c r="AQ179" s="1138">
        <v>265584</v>
      </c>
      <c r="AR179" s="1138">
        <v>779372</v>
      </c>
      <c r="AS179" s="1138">
        <v>136829</v>
      </c>
      <c r="AT179" s="1138">
        <v>14714</v>
      </c>
      <c r="AU179" s="1138">
        <v>252097</v>
      </c>
      <c r="AV179" s="1138">
        <v>450797</v>
      </c>
      <c r="AW179" s="1138">
        <v>3391</v>
      </c>
      <c r="AX179" s="1138">
        <v>40125</v>
      </c>
      <c r="AY179" s="1138">
        <v>139297</v>
      </c>
      <c r="AZ179" s="1138">
        <v>162971</v>
      </c>
      <c r="BA179" s="1138">
        <v>85336</v>
      </c>
      <c r="BB179" s="1138">
        <v>2786</v>
      </c>
      <c r="BC179" s="1138">
        <v>0</v>
      </c>
      <c r="BD179" s="1138">
        <v>0</v>
      </c>
      <c r="BE179" s="1138">
        <v>3555</v>
      </c>
      <c r="BF179" s="1138">
        <v>0</v>
      </c>
      <c r="BG179" s="1138">
        <v>13885</v>
      </c>
      <c r="BH179" s="1138">
        <v>2220</v>
      </c>
      <c r="BI179" s="1138">
        <v>121591</v>
      </c>
      <c r="BJ179" s="1138">
        <v>88199</v>
      </c>
      <c r="BK179" s="1138">
        <v>0</v>
      </c>
      <c r="BL179" s="1138">
        <v>112192</v>
      </c>
      <c r="BM179" s="1138">
        <v>81901</v>
      </c>
      <c r="BN179" s="1138">
        <v>0</v>
      </c>
      <c r="BO179" s="1138">
        <v>203301</v>
      </c>
      <c r="BP179" s="1138">
        <v>51658</v>
      </c>
      <c r="BQ179" s="1138">
        <v>26013</v>
      </c>
      <c r="BR179" s="1138">
        <v>98050</v>
      </c>
      <c r="BS179" s="1138">
        <v>51335</v>
      </c>
      <c r="BT179" s="1138">
        <v>1663774</v>
      </c>
      <c r="BU179" s="1138">
        <v>101305</v>
      </c>
      <c r="BV179" s="1138">
        <v>92276</v>
      </c>
      <c r="BW179" s="1138">
        <v>31492</v>
      </c>
      <c r="BX179" s="1138">
        <v>27670</v>
      </c>
      <c r="BY179" s="1138">
        <v>211</v>
      </c>
      <c r="BZ179" s="1138">
        <v>1582</v>
      </c>
      <c r="CA179" s="1138">
        <v>707468</v>
      </c>
      <c r="CB179" s="1138">
        <v>6231</v>
      </c>
    </row>
    <row r="180" spans="1:80" x14ac:dyDescent="0.3">
      <c r="A180" s="269">
        <v>530</v>
      </c>
      <c r="B180" s="1002">
        <v>530</v>
      </c>
      <c r="C180" s="269" t="s">
        <v>273</v>
      </c>
      <c r="D180" s="269" t="s">
        <v>497</v>
      </c>
      <c r="E180" s="1138">
        <v>4583</v>
      </c>
      <c r="F180" s="1138">
        <v>18428</v>
      </c>
      <c r="G180" s="1138">
        <v>0</v>
      </c>
      <c r="H180" s="1138">
        <v>155852</v>
      </c>
      <c r="I180" s="1138">
        <v>9348</v>
      </c>
      <c r="J180" s="1138">
        <v>11900</v>
      </c>
      <c r="K180" s="1138">
        <v>30049</v>
      </c>
      <c r="L180" s="1138">
        <v>30742</v>
      </c>
      <c r="M180" s="1138">
        <v>440157</v>
      </c>
      <c r="N180" s="1138">
        <v>1556</v>
      </c>
      <c r="O180" s="1138">
        <v>10457</v>
      </c>
      <c r="P180" s="1138">
        <v>3860</v>
      </c>
      <c r="Q180" s="1138">
        <v>115088</v>
      </c>
      <c r="R180" s="1138">
        <v>33857</v>
      </c>
      <c r="S180" s="1138">
        <v>38567</v>
      </c>
      <c r="T180" s="1138">
        <v>48161</v>
      </c>
      <c r="U180" s="1138">
        <v>0</v>
      </c>
      <c r="V180" s="1138">
        <v>247107</v>
      </c>
      <c r="W180" s="1138">
        <v>538</v>
      </c>
      <c r="X180" s="1138">
        <v>26460</v>
      </c>
      <c r="Y180" s="1138">
        <v>15966</v>
      </c>
      <c r="Z180" s="1138">
        <v>5911</v>
      </c>
      <c r="AA180" s="1138">
        <v>30157</v>
      </c>
      <c r="AB180" s="1138">
        <v>38679</v>
      </c>
      <c r="AC180" s="1138">
        <v>5288</v>
      </c>
      <c r="AD180" s="1138">
        <v>1116</v>
      </c>
      <c r="AE180" s="1138">
        <v>5141</v>
      </c>
      <c r="AF180" s="1138">
        <v>57252</v>
      </c>
      <c r="AG180" s="1138">
        <v>2467</v>
      </c>
      <c r="AH180" s="1138">
        <v>130</v>
      </c>
      <c r="AI180" s="1138">
        <v>584</v>
      </c>
      <c r="AJ180" s="1138">
        <v>6243</v>
      </c>
      <c r="AK180" s="1138">
        <v>186275</v>
      </c>
      <c r="AL180" s="1138">
        <v>1859</v>
      </c>
      <c r="AM180" s="1138">
        <v>320</v>
      </c>
      <c r="AN180" s="1138">
        <v>34599</v>
      </c>
      <c r="AO180" s="1138">
        <v>376918</v>
      </c>
      <c r="AP180" s="1138">
        <v>6686</v>
      </c>
      <c r="AQ180" s="1138">
        <v>7611</v>
      </c>
      <c r="AR180" s="1138">
        <v>320034</v>
      </c>
      <c r="AS180" s="1138">
        <v>15819</v>
      </c>
      <c r="AT180" s="1138">
        <v>4922</v>
      </c>
      <c r="AU180" s="1138">
        <v>3285</v>
      </c>
      <c r="AV180" s="1138">
        <v>80015</v>
      </c>
      <c r="AW180" s="1138">
        <v>932</v>
      </c>
      <c r="AX180" s="1138">
        <v>6062</v>
      </c>
      <c r="AY180" s="1138">
        <v>27064</v>
      </c>
      <c r="AZ180" s="1138">
        <v>44431</v>
      </c>
      <c r="BA180" s="1138">
        <v>17935</v>
      </c>
      <c r="BB180" s="1138">
        <v>1971</v>
      </c>
      <c r="BC180" s="1138">
        <v>0</v>
      </c>
      <c r="BD180" s="1138">
        <v>0</v>
      </c>
      <c r="BE180" s="1138">
        <v>1204</v>
      </c>
      <c r="BF180" s="1138">
        <v>0</v>
      </c>
      <c r="BG180" s="1138">
        <v>7424</v>
      </c>
      <c r="BH180" s="1138">
        <v>673</v>
      </c>
      <c r="BI180" s="1138">
        <v>9456</v>
      </c>
      <c r="BJ180" s="1138">
        <v>60457</v>
      </c>
      <c r="BK180" s="1138">
        <v>0</v>
      </c>
      <c r="BL180" s="1138">
        <v>19075</v>
      </c>
      <c r="BM180" s="1138">
        <v>11583</v>
      </c>
      <c r="BN180" s="1138">
        <v>0</v>
      </c>
      <c r="BO180" s="1138">
        <v>22306</v>
      </c>
      <c r="BP180" s="1138">
        <v>15363</v>
      </c>
      <c r="BQ180" s="1138">
        <v>13977</v>
      </c>
      <c r="BR180" s="1138">
        <v>16271</v>
      </c>
      <c r="BS180" s="1138">
        <v>1087</v>
      </c>
      <c r="BT180" s="1138">
        <v>45755</v>
      </c>
      <c r="BU180" s="1138">
        <v>106155</v>
      </c>
      <c r="BV180" s="1138">
        <v>11211</v>
      </c>
      <c r="BW180" s="1138">
        <v>11141</v>
      </c>
      <c r="BX180" s="1138">
        <v>1123</v>
      </c>
      <c r="BY180" s="1138">
        <v>160</v>
      </c>
      <c r="BZ180" s="1138">
        <v>323</v>
      </c>
      <c r="CA180" s="1138">
        <v>49138</v>
      </c>
      <c r="CB180" s="1138">
        <v>5284</v>
      </c>
    </row>
    <row r="181" spans="1:80" x14ac:dyDescent="0.3">
      <c r="A181" s="269">
        <v>531</v>
      </c>
      <c r="B181" s="1002">
        <v>531</v>
      </c>
      <c r="C181" s="269" t="s">
        <v>274</v>
      </c>
      <c r="D181" s="269" t="s">
        <v>498</v>
      </c>
      <c r="E181" s="1138">
        <v>0</v>
      </c>
      <c r="F181" s="1138">
        <v>0</v>
      </c>
      <c r="G181" s="1138">
        <v>0</v>
      </c>
      <c r="H181" s="1138">
        <v>0</v>
      </c>
      <c r="I181" s="1138">
        <v>0</v>
      </c>
      <c r="J181" s="1138">
        <v>214</v>
      </c>
      <c r="K181" s="1138">
        <v>0</v>
      </c>
      <c r="L181" s="1138">
        <v>0</v>
      </c>
      <c r="M181" s="1138">
        <v>0</v>
      </c>
      <c r="N181" s="1138">
        <v>0</v>
      </c>
      <c r="O181" s="1138">
        <v>0</v>
      </c>
      <c r="P181" s="1138">
        <v>0</v>
      </c>
      <c r="Q181" s="1138">
        <v>0</v>
      </c>
      <c r="R181" s="1138">
        <v>0</v>
      </c>
      <c r="S181" s="1138">
        <v>918</v>
      </c>
      <c r="T181" s="1138">
        <v>0</v>
      </c>
      <c r="U181" s="1138">
        <v>0</v>
      </c>
      <c r="V181" s="1138">
        <v>0</v>
      </c>
      <c r="W181" s="1138">
        <v>0</v>
      </c>
      <c r="X181" s="1138">
        <v>0</v>
      </c>
      <c r="Y181" s="1138">
        <v>4597</v>
      </c>
      <c r="Z181" s="1138">
        <v>0</v>
      </c>
      <c r="AA181" s="1138">
        <v>0</v>
      </c>
      <c r="AB181" s="1138">
        <v>0</v>
      </c>
      <c r="AC181" s="1138">
        <v>0</v>
      </c>
      <c r="AD181" s="1138">
        <v>0</v>
      </c>
      <c r="AE181" s="1138">
        <v>0</v>
      </c>
      <c r="AF181" s="1138">
        <v>0</v>
      </c>
      <c r="AG181" s="1138">
        <v>0</v>
      </c>
      <c r="AH181" s="1138">
        <v>0</v>
      </c>
      <c r="AI181" s="1138">
        <v>0</v>
      </c>
      <c r="AJ181" s="1138">
        <v>581</v>
      </c>
      <c r="AK181" s="1138">
        <v>0</v>
      </c>
      <c r="AL181" s="1138">
        <v>0</v>
      </c>
      <c r="AM181" s="1138">
        <v>0</v>
      </c>
      <c r="AN181" s="1138">
        <v>0</v>
      </c>
      <c r="AO181" s="1138">
        <v>0</v>
      </c>
      <c r="AP181" s="1138">
        <v>0</v>
      </c>
      <c r="AQ181" s="1138">
        <v>0</v>
      </c>
      <c r="AR181" s="1138">
        <v>0</v>
      </c>
      <c r="AS181" s="1138">
        <v>232</v>
      </c>
      <c r="AT181" s="1138">
        <v>0</v>
      </c>
      <c r="AU181" s="1138">
        <v>0</v>
      </c>
      <c r="AV181" s="1138">
        <v>0</v>
      </c>
      <c r="AW181" s="1138">
        <v>0</v>
      </c>
      <c r="AX181" s="1138">
        <v>0</v>
      </c>
      <c r="AY181" s="1138">
        <v>0</v>
      </c>
      <c r="AZ181" s="1138">
        <v>0</v>
      </c>
      <c r="BA181" s="1138">
        <v>0</v>
      </c>
      <c r="BB181" s="1138">
        <v>0</v>
      </c>
      <c r="BC181" s="1138">
        <v>0</v>
      </c>
      <c r="BD181" s="1138">
        <v>0</v>
      </c>
      <c r="BE181" s="1138">
        <v>0</v>
      </c>
      <c r="BF181" s="1138">
        <v>0</v>
      </c>
      <c r="BG181" s="1138">
        <v>0</v>
      </c>
      <c r="BH181" s="1138">
        <v>8</v>
      </c>
      <c r="BI181" s="1138">
        <v>0</v>
      </c>
      <c r="BJ181" s="1138">
        <v>708</v>
      </c>
      <c r="BK181" s="1138">
        <v>0</v>
      </c>
      <c r="BL181" s="1138">
        <v>0</v>
      </c>
      <c r="BM181" s="1138">
        <v>0</v>
      </c>
      <c r="BN181" s="1138">
        <v>0</v>
      </c>
      <c r="BO181" s="1138">
        <v>0</v>
      </c>
      <c r="BP181" s="1138">
        <v>0</v>
      </c>
      <c r="BQ181" s="1138">
        <v>0</v>
      </c>
      <c r="BR181" s="1138">
        <v>0</v>
      </c>
      <c r="BS181" s="1138">
        <v>0</v>
      </c>
      <c r="BT181" s="1138">
        <v>0</v>
      </c>
      <c r="BU181" s="1138">
        <v>1317</v>
      </c>
      <c r="BV181" s="1138">
        <v>0</v>
      </c>
      <c r="BW181" s="1138">
        <v>1219</v>
      </c>
      <c r="BX181" s="1138">
        <v>0</v>
      </c>
      <c r="BY181" s="1138">
        <v>0</v>
      </c>
      <c r="BZ181" s="1138">
        <v>0</v>
      </c>
      <c r="CA181" s="1138">
        <v>7114</v>
      </c>
      <c r="CB181" s="1138">
        <v>0</v>
      </c>
    </row>
    <row r="182" spans="1:80" x14ac:dyDescent="0.3">
      <c r="A182" s="269">
        <v>532</v>
      </c>
      <c r="B182" s="1002">
        <v>532</v>
      </c>
      <c r="C182" s="269" t="s">
        <v>568</v>
      </c>
      <c r="D182" s="269" t="s">
        <v>499</v>
      </c>
      <c r="E182" s="1138">
        <v>2082244</v>
      </c>
      <c r="F182" s="1138">
        <v>11823681</v>
      </c>
      <c r="G182" s="1138">
        <v>0</v>
      </c>
      <c r="H182" s="1138">
        <v>40041495</v>
      </c>
      <c r="I182" s="1138">
        <v>4069835</v>
      </c>
      <c r="J182" s="1138">
        <v>249092</v>
      </c>
      <c r="K182" s="1138">
        <v>1073524</v>
      </c>
      <c r="L182" s="1138">
        <v>2466989</v>
      </c>
      <c r="M182" s="1138">
        <v>39760928</v>
      </c>
      <c r="N182" s="1138">
        <v>88033</v>
      </c>
      <c r="O182" s="1138">
        <v>865904</v>
      </c>
      <c r="P182" s="1138">
        <v>1520015</v>
      </c>
      <c r="Q182" s="1138">
        <v>31622382</v>
      </c>
      <c r="R182" s="1138">
        <v>18686438</v>
      </c>
      <c r="S182" s="1138">
        <v>8087094</v>
      </c>
      <c r="T182" s="1138">
        <v>15768054</v>
      </c>
      <c r="U182" s="1138">
        <v>0</v>
      </c>
      <c r="V182" s="1138">
        <v>21052422</v>
      </c>
      <c r="W182" s="1138">
        <v>25435</v>
      </c>
      <c r="X182" s="1138">
        <v>9132087</v>
      </c>
      <c r="Y182" s="1138">
        <v>15012730</v>
      </c>
      <c r="Z182" s="1138">
        <v>6173676</v>
      </c>
      <c r="AA182" s="1138">
        <v>1509388</v>
      </c>
      <c r="AB182" s="1138">
        <v>5140038</v>
      </c>
      <c r="AC182" s="1138">
        <v>1318645</v>
      </c>
      <c r="AD182" s="1138">
        <v>326323</v>
      </c>
      <c r="AE182" s="1138">
        <v>1374559</v>
      </c>
      <c r="AF182" s="1138">
        <v>3437670</v>
      </c>
      <c r="AG182" s="1138">
        <v>128079</v>
      </c>
      <c r="AH182" s="1138">
        <v>37979</v>
      </c>
      <c r="AI182" s="1138">
        <v>93921</v>
      </c>
      <c r="AJ182" s="1138">
        <v>2723970</v>
      </c>
      <c r="AK182" s="1138">
        <v>8031508</v>
      </c>
      <c r="AL182" s="1138">
        <v>364368</v>
      </c>
      <c r="AM182" s="1138">
        <v>23239</v>
      </c>
      <c r="AN182" s="1138">
        <v>20084625</v>
      </c>
      <c r="AO182" s="1138">
        <v>17314687</v>
      </c>
      <c r="AP182" s="1138">
        <v>436564</v>
      </c>
      <c r="AQ182" s="1138">
        <v>3886189</v>
      </c>
      <c r="AR182" s="1138">
        <v>21698209</v>
      </c>
      <c r="AS182" s="1138">
        <v>2604104</v>
      </c>
      <c r="AT182" s="1138">
        <v>626679</v>
      </c>
      <c r="AU182" s="1138">
        <v>7645088</v>
      </c>
      <c r="AV182" s="1138">
        <v>11174683</v>
      </c>
      <c r="AW182" s="1138">
        <v>304107</v>
      </c>
      <c r="AX182" s="1138">
        <v>565179</v>
      </c>
      <c r="AY182" s="1138">
        <v>2837575</v>
      </c>
      <c r="AZ182" s="1138">
        <v>3998779</v>
      </c>
      <c r="BA182" s="1138">
        <v>4007317</v>
      </c>
      <c r="BB182" s="1138">
        <v>111857</v>
      </c>
      <c r="BC182" s="1138">
        <v>0</v>
      </c>
      <c r="BD182" s="1138">
        <v>0</v>
      </c>
      <c r="BE182" s="1138">
        <v>75709</v>
      </c>
      <c r="BF182" s="1138">
        <v>0</v>
      </c>
      <c r="BG182" s="1138">
        <v>386743</v>
      </c>
      <c r="BH182" s="1138">
        <v>55165</v>
      </c>
      <c r="BI182" s="1138">
        <v>2986916</v>
      </c>
      <c r="BJ182" s="1138">
        <v>2463025</v>
      </c>
      <c r="BK182" s="1138">
        <v>0</v>
      </c>
      <c r="BL182" s="1138">
        <v>9401916</v>
      </c>
      <c r="BM182" s="1138">
        <v>4036431</v>
      </c>
      <c r="BN182" s="1138">
        <v>41493</v>
      </c>
      <c r="BO182" s="1138">
        <v>6753630</v>
      </c>
      <c r="BP182" s="1138">
        <v>1863224</v>
      </c>
      <c r="BQ182" s="1138">
        <v>915657</v>
      </c>
      <c r="BR182" s="1138">
        <v>1823332</v>
      </c>
      <c r="BS182" s="1138">
        <v>952432</v>
      </c>
      <c r="BT182" s="1138">
        <v>22520066</v>
      </c>
      <c r="BU182" s="1138">
        <v>1914813</v>
      </c>
      <c r="BV182" s="1138">
        <v>2712514</v>
      </c>
      <c r="BW182" s="1138">
        <v>1131937</v>
      </c>
      <c r="BX182" s="1138">
        <v>1047055</v>
      </c>
      <c r="BY182" s="1138">
        <v>27004</v>
      </c>
      <c r="BZ182" s="1138">
        <v>44264</v>
      </c>
      <c r="CA182" s="1138">
        <v>16171443</v>
      </c>
      <c r="CB182" s="1138">
        <v>65366</v>
      </c>
    </row>
    <row r="183" spans="1:80" x14ac:dyDescent="0.3">
      <c r="A183" s="269">
        <v>533</v>
      </c>
      <c r="B183" s="1002">
        <v>533</v>
      </c>
      <c r="C183" s="269" t="s">
        <v>569</v>
      </c>
      <c r="D183" s="269" t="s">
        <v>500</v>
      </c>
      <c r="E183" s="1138">
        <v>11203</v>
      </c>
      <c r="F183" s="1138">
        <v>0</v>
      </c>
      <c r="G183" s="1138">
        <v>0</v>
      </c>
      <c r="H183" s="1138">
        <v>1140255</v>
      </c>
      <c r="I183" s="1138">
        <v>0</v>
      </c>
      <c r="J183" s="1138">
        <v>0</v>
      </c>
      <c r="K183" s="1138">
        <v>0</v>
      </c>
      <c r="L183" s="1138">
        <v>0</v>
      </c>
      <c r="M183" s="1138">
        <v>0</v>
      </c>
      <c r="N183" s="1138">
        <v>0</v>
      </c>
      <c r="O183" s="1138">
        <v>0</v>
      </c>
      <c r="P183" s="1138">
        <v>13333</v>
      </c>
      <c r="Q183" s="1138">
        <v>2849150</v>
      </c>
      <c r="R183" s="1138">
        <v>828481</v>
      </c>
      <c r="S183" s="1138">
        <v>1296541</v>
      </c>
      <c r="T183" s="1138">
        <v>660154</v>
      </c>
      <c r="U183" s="1138">
        <v>0</v>
      </c>
      <c r="V183" s="1138">
        <v>172443</v>
      </c>
      <c r="W183" s="1138">
        <v>0</v>
      </c>
      <c r="X183" s="1138">
        <v>0</v>
      </c>
      <c r="Y183" s="1138">
        <v>91800</v>
      </c>
      <c r="Z183" s="1138">
        <v>233412</v>
      </c>
      <c r="AA183" s="1138">
        <v>0</v>
      </c>
      <c r="AB183" s="1138">
        <v>100225</v>
      </c>
      <c r="AC183" s="1138">
        <v>0</v>
      </c>
      <c r="AD183" s="1138">
        <v>0</v>
      </c>
      <c r="AE183" s="1138">
        <v>0</v>
      </c>
      <c r="AF183" s="1138">
        <v>0</v>
      </c>
      <c r="AG183" s="1138">
        <v>0</v>
      </c>
      <c r="AH183" s="1138">
        <v>0</v>
      </c>
      <c r="AI183" s="1138">
        <v>0</v>
      </c>
      <c r="AJ183" s="1138">
        <v>0</v>
      </c>
      <c r="AK183" s="1138">
        <v>0</v>
      </c>
      <c r="AL183" s="1138">
        <v>0</v>
      </c>
      <c r="AM183" s="1138">
        <v>0</v>
      </c>
      <c r="AN183" s="1138">
        <v>0</v>
      </c>
      <c r="AO183" s="1138">
        <v>0</v>
      </c>
      <c r="AP183" s="1138">
        <v>0</v>
      </c>
      <c r="AQ183" s="1138">
        <v>0</v>
      </c>
      <c r="AR183" s="1138">
        <v>0</v>
      </c>
      <c r="AS183" s="1138">
        <v>0</v>
      </c>
      <c r="AT183" s="1138">
        <v>0</v>
      </c>
      <c r="AU183" s="1138">
        <v>1500000</v>
      </c>
      <c r="AV183" s="1138">
        <v>0</v>
      </c>
      <c r="AW183" s="1138">
        <v>0</v>
      </c>
      <c r="AX183" s="1138">
        <v>0</v>
      </c>
      <c r="AY183" s="1138">
        <v>0</v>
      </c>
      <c r="AZ183" s="1138">
        <v>535000</v>
      </c>
      <c r="BA183" s="1138">
        <v>275000</v>
      </c>
      <c r="BB183" s="1138">
        <v>0</v>
      </c>
      <c r="BC183" s="1138">
        <v>0</v>
      </c>
      <c r="BD183" s="1138">
        <v>0</v>
      </c>
      <c r="BE183" s="1138">
        <v>0</v>
      </c>
      <c r="BF183" s="1138">
        <v>0</v>
      </c>
      <c r="BG183" s="1138">
        <v>0</v>
      </c>
      <c r="BH183" s="1138">
        <v>0</v>
      </c>
      <c r="BI183" s="1138">
        <v>0</v>
      </c>
      <c r="BJ183" s="1138">
        <v>0</v>
      </c>
      <c r="BK183" s="1138">
        <v>0</v>
      </c>
      <c r="BL183" s="1138">
        <v>0</v>
      </c>
      <c r="BM183" s="1138">
        <v>0</v>
      </c>
      <c r="BN183" s="1138">
        <v>0</v>
      </c>
      <c r="BO183" s="1138">
        <v>0</v>
      </c>
      <c r="BP183" s="1138">
        <v>0</v>
      </c>
      <c r="BQ183" s="1138">
        <v>0</v>
      </c>
      <c r="BR183" s="1138">
        <v>0</v>
      </c>
      <c r="BS183" s="1138">
        <v>0</v>
      </c>
      <c r="BT183" s="1138">
        <v>0</v>
      </c>
      <c r="BU183" s="1138">
        <v>110000</v>
      </c>
      <c r="BV183" s="1138">
        <v>0</v>
      </c>
      <c r="BW183" s="1138">
        <v>0</v>
      </c>
      <c r="BX183" s="1138">
        <v>0</v>
      </c>
      <c r="BY183" s="1138">
        <v>0</v>
      </c>
      <c r="BZ183" s="1138">
        <v>0</v>
      </c>
      <c r="CA183" s="1138">
        <v>735468</v>
      </c>
      <c r="CB183" s="1138">
        <v>0</v>
      </c>
    </row>
    <row r="184" spans="1:80" x14ac:dyDescent="0.3">
      <c r="B184" s="1002">
        <v>534</v>
      </c>
      <c r="C184" s="269" t="s">
        <v>275</v>
      </c>
      <c r="D184" s="269" t="s">
        <v>501</v>
      </c>
      <c r="E184" s="1138"/>
      <c r="F184" s="1138"/>
      <c r="G184" s="1138"/>
      <c r="H184" s="1138"/>
      <c r="I184" s="1138"/>
      <c r="J184" s="1138"/>
      <c r="K184" s="1138"/>
      <c r="L184" s="1138"/>
      <c r="M184" s="1138"/>
      <c r="N184" s="1138"/>
      <c r="O184" s="1138"/>
      <c r="P184" s="1138"/>
      <c r="Q184" s="1138"/>
      <c r="R184" s="1138"/>
      <c r="S184" s="1138"/>
      <c r="T184" s="1138"/>
      <c r="U184" s="1138"/>
      <c r="V184" s="1138"/>
      <c r="W184" s="1138"/>
      <c r="X184" s="1138"/>
      <c r="Y184" s="1138"/>
      <c r="Z184" s="1138"/>
      <c r="AA184" s="1138"/>
      <c r="AB184" s="1138"/>
      <c r="AC184" s="1138"/>
      <c r="AD184" s="1138"/>
      <c r="AE184" s="1138"/>
      <c r="AF184" s="1138"/>
      <c r="AG184" s="1138"/>
      <c r="AH184" s="1138"/>
      <c r="AI184" s="1138"/>
      <c r="AJ184" s="1138"/>
      <c r="AK184" s="1138"/>
      <c r="AL184" s="1138"/>
      <c r="AM184" s="1138"/>
      <c r="AN184" s="1138"/>
      <c r="AO184" s="1138"/>
      <c r="AP184" s="1138"/>
      <c r="AQ184" s="1138"/>
      <c r="AR184" s="1138"/>
      <c r="AS184" s="1138"/>
      <c r="AT184" s="1138"/>
      <c r="AU184" s="1138"/>
      <c r="AV184" s="1138"/>
      <c r="AW184" s="1138"/>
      <c r="AX184" s="1138"/>
      <c r="AY184" s="1138"/>
      <c r="AZ184" s="1138"/>
      <c r="BA184" s="1138"/>
      <c r="BB184" s="1138"/>
      <c r="BC184" s="1138"/>
      <c r="BD184" s="1138"/>
      <c r="BE184" s="1138"/>
      <c r="BF184" s="1138"/>
      <c r="BG184" s="1138"/>
      <c r="BH184" s="1138"/>
      <c r="BI184" s="1138"/>
      <c r="BJ184" s="1138"/>
      <c r="BK184" s="1138"/>
      <c r="BL184" s="1138"/>
      <c r="BM184" s="1138"/>
      <c r="BN184" s="1138"/>
      <c r="BO184" s="1138"/>
      <c r="BP184" s="1138"/>
      <c r="BQ184" s="1138"/>
      <c r="BR184" s="1138"/>
      <c r="BS184" s="1138"/>
      <c r="BT184" s="1138"/>
      <c r="BU184" s="1138"/>
      <c r="BV184" s="1138"/>
      <c r="BW184" s="1138"/>
      <c r="BX184" s="1138"/>
      <c r="BY184" s="1138"/>
      <c r="BZ184" s="1138"/>
      <c r="CA184" s="1138"/>
      <c r="CB184" s="1138"/>
    </row>
    <row r="185" spans="1:80" x14ac:dyDescent="0.3">
      <c r="A185" s="269">
        <v>535</v>
      </c>
      <c r="B185" s="1002">
        <v>535</v>
      </c>
      <c r="C185" s="269" t="s">
        <v>253</v>
      </c>
      <c r="D185" s="269" t="s">
        <v>502</v>
      </c>
      <c r="E185" s="1138">
        <v>0</v>
      </c>
      <c r="F185" s="1138">
        <v>1749541</v>
      </c>
      <c r="G185" s="1138">
        <v>0</v>
      </c>
      <c r="H185" s="1138">
        <v>7170251</v>
      </c>
      <c r="I185" s="1138">
        <v>0</v>
      </c>
      <c r="J185" s="1138">
        <v>0</v>
      </c>
      <c r="K185" s="1138">
        <v>0</v>
      </c>
      <c r="L185" s="1138">
        <v>0</v>
      </c>
      <c r="M185" s="1138">
        <v>42259291</v>
      </c>
      <c r="N185" s="1138">
        <v>0</v>
      </c>
      <c r="O185" s="1138">
        <v>0</v>
      </c>
      <c r="P185" s="1138">
        <v>0</v>
      </c>
      <c r="Q185" s="1138">
        <v>1588588</v>
      </c>
      <c r="R185" s="1138">
        <v>510018</v>
      </c>
      <c r="S185" s="1138">
        <v>0</v>
      </c>
      <c r="T185" s="1138">
        <v>0</v>
      </c>
      <c r="U185" s="1138">
        <v>0</v>
      </c>
      <c r="V185" s="1138">
        <v>0</v>
      </c>
      <c r="W185" s="1138">
        <v>0</v>
      </c>
      <c r="X185" s="1138">
        <v>0</v>
      </c>
      <c r="Y185" s="1138">
        <v>1216647</v>
      </c>
      <c r="Z185" s="1138">
        <v>0</v>
      </c>
      <c r="AA185" s="1138">
        <v>0</v>
      </c>
      <c r="AB185" s="1138">
        <v>129859</v>
      </c>
      <c r="AC185" s="1138">
        <v>0</v>
      </c>
      <c r="AD185" s="1138">
        <v>0</v>
      </c>
      <c r="AE185" s="1138">
        <v>0</v>
      </c>
      <c r="AF185" s="1138">
        <v>0</v>
      </c>
      <c r="AG185" s="1138">
        <v>0</v>
      </c>
      <c r="AH185" s="1138">
        <v>0</v>
      </c>
      <c r="AI185" s="1138">
        <v>0</v>
      </c>
      <c r="AJ185" s="1138">
        <v>0</v>
      </c>
      <c r="AK185" s="1138">
        <v>0</v>
      </c>
      <c r="AL185" s="1138">
        <v>0</v>
      </c>
      <c r="AM185" s="1138">
        <v>0</v>
      </c>
      <c r="AN185" s="1138">
        <v>1462748</v>
      </c>
      <c r="AO185" s="1138">
        <v>0</v>
      </c>
      <c r="AP185" s="1138">
        <v>0</v>
      </c>
      <c r="AQ185" s="1138">
        <v>0</v>
      </c>
      <c r="AR185" s="1138">
        <v>287412</v>
      </c>
      <c r="AS185" s="1138">
        <v>0</v>
      </c>
      <c r="AT185" s="1138">
        <v>0</v>
      </c>
      <c r="AU185" s="1138">
        <v>0</v>
      </c>
      <c r="AV185" s="1138">
        <v>0</v>
      </c>
      <c r="AW185" s="1138">
        <v>0</v>
      </c>
      <c r="AX185" s="1138">
        <v>0</v>
      </c>
      <c r="AY185" s="1138">
        <v>0</v>
      </c>
      <c r="AZ185" s="1138">
        <v>0</v>
      </c>
      <c r="BA185" s="1138">
        <v>0</v>
      </c>
      <c r="BB185" s="1138">
        <v>0</v>
      </c>
      <c r="BC185" s="1138">
        <v>0</v>
      </c>
      <c r="BD185" s="1138">
        <v>0</v>
      </c>
      <c r="BE185" s="1138">
        <v>0</v>
      </c>
      <c r="BF185" s="1138">
        <v>0</v>
      </c>
      <c r="BG185" s="1138">
        <v>0</v>
      </c>
      <c r="BH185" s="1138">
        <v>0</v>
      </c>
      <c r="BI185" s="1138">
        <v>0</v>
      </c>
      <c r="BJ185" s="1138">
        <v>0</v>
      </c>
      <c r="BK185" s="1138">
        <v>0</v>
      </c>
      <c r="BL185" s="1138">
        <v>0</v>
      </c>
      <c r="BM185" s="1138">
        <v>0</v>
      </c>
      <c r="BN185" s="1138">
        <v>0</v>
      </c>
      <c r="BO185" s="1138">
        <v>0</v>
      </c>
      <c r="BP185" s="1138">
        <v>0</v>
      </c>
      <c r="BQ185" s="1138">
        <v>0</v>
      </c>
      <c r="BR185" s="1138">
        <v>0</v>
      </c>
      <c r="BS185" s="1138">
        <v>0</v>
      </c>
      <c r="BT185" s="1138">
        <v>0</v>
      </c>
      <c r="BU185" s="1138">
        <v>1</v>
      </c>
      <c r="BV185" s="1138">
        <v>0</v>
      </c>
      <c r="BW185" s="1138">
        <v>0</v>
      </c>
      <c r="BX185" s="1138">
        <v>0</v>
      </c>
      <c r="BY185" s="1138">
        <v>0</v>
      </c>
      <c r="BZ185" s="1138">
        <v>0</v>
      </c>
      <c r="CA185" s="1138">
        <v>0</v>
      </c>
      <c r="CB185" s="1138">
        <v>0</v>
      </c>
    </row>
    <row r="186" spans="1:80" x14ac:dyDescent="0.3">
      <c r="A186" s="269">
        <v>536</v>
      </c>
      <c r="B186" s="1002">
        <v>536</v>
      </c>
      <c r="C186" s="269" t="s">
        <v>199</v>
      </c>
      <c r="D186" s="269" t="s">
        <v>503</v>
      </c>
      <c r="E186" s="1138">
        <v>0</v>
      </c>
      <c r="F186" s="1138">
        <v>2407357</v>
      </c>
      <c r="G186" s="1138">
        <v>0</v>
      </c>
      <c r="H186" s="1138">
        <v>4170728</v>
      </c>
      <c r="I186" s="1138">
        <v>448379</v>
      </c>
      <c r="J186" s="1138">
        <v>111447</v>
      </c>
      <c r="K186" s="1138">
        <v>2829</v>
      </c>
      <c r="L186" s="1138">
        <v>36363</v>
      </c>
      <c r="M186" s="1138">
        <v>8144147</v>
      </c>
      <c r="N186" s="1138">
        <v>32537</v>
      </c>
      <c r="O186" s="1138">
        <v>151344</v>
      </c>
      <c r="P186" s="1138">
        <v>145741</v>
      </c>
      <c r="Q186" s="1138">
        <v>1710362</v>
      </c>
      <c r="R186" s="1138">
        <v>3770384</v>
      </c>
      <c r="S186" s="1138">
        <v>610</v>
      </c>
      <c r="T186" s="1138">
        <v>325415</v>
      </c>
      <c r="U186" s="1138">
        <v>0</v>
      </c>
      <c r="V186" s="1138">
        <v>0</v>
      </c>
      <c r="W186" s="1138">
        <v>102379</v>
      </c>
      <c r="X186" s="1138">
        <v>2961035</v>
      </c>
      <c r="Y186" s="1138">
        <v>805313</v>
      </c>
      <c r="Z186" s="1138">
        <v>337927</v>
      </c>
      <c r="AA186" s="1138">
        <v>279057</v>
      </c>
      <c r="AB186" s="1138">
        <v>3668</v>
      </c>
      <c r="AC186" s="1138">
        <v>150429</v>
      </c>
      <c r="AD186" s="1138">
        <v>71311</v>
      </c>
      <c r="AE186" s="1138">
        <v>297721</v>
      </c>
      <c r="AF186" s="1138">
        <v>790558</v>
      </c>
      <c r="AG186" s="1138">
        <v>14029</v>
      </c>
      <c r="AH186" s="1138">
        <v>18433</v>
      </c>
      <c r="AI186" s="1138">
        <v>157407</v>
      </c>
      <c r="AJ186" s="1138">
        <v>0</v>
      </c>
      <c r="AK186" s="1138">
        <v>24741</v>
      </c>
      <c r="AL186" s="1138">
        <v>25590</v>
      </c>
      <c r="AM186" s="1138">
        <v>0</v>
      </c>
      <c r="AN186" s="1138">
        <v>1492839</v>
      </c>
      <c r="AO186" s="1138">
        <v>0</v>
      </c>
      <c r="AP186" s="1138">
        <v>71299</v>
      </c>
      <c r="AQ186" s="1138">
        <v>731863</v>
      </c>
      <c r="AR186" s="1138">
        <v>264789</v>
      </c>
      <c r="AS186" s="1138">
        <v>239235</v>
      </c>
      <c r="AT186" s="1138">
        <v>22368</v>
      </c>
      <c r="AU186" s="1138">
        <v>147872</v>
      </c>
      <c r="AV186" s="1138">
        <v>439672</v>
      </c>
      <c r="AW186" s="1138">
        <v>1418</v>
      </c>
      <c r="AX186" s="1138">
        <v>173934</v>
      </c>
      <c r="AY186" s="1138">
        <v>585366</v>
      </c>
      <c r="AZ186" s="1138">
        <v>737829</v>
      </c>
      <c r="BA186" s="1138">
        <v>47146</v>
      </c>
      <c r="BB186" s="1138">
        <v>28903</v>
      </c>
      <c r="BC186" s="1138">
        <v>0</v>
      </c>
      <c r="BD186" s="1138">
        <v>0</v>
      </c>
      <c r="BE186" s="1138">
        <v>12833</v>
      </c>
      <c r="BF186" s="1138">
        <v>0</v>
      </c>
      <c r="BG186" s="1138">
        <v>73618</v>
      </c>
      <c r="BH186" s="1138">
        <v>18670</v>
      </c>
      <c r="BI186" s="1138">
        <v>0</v>
      </c>
      <c r="BJ186" s="1138">
        <v>143197</v>
      </c>
      <c r="BK186" s="1138">
        <v>0</v>
      </c>
      <c r="BL186" s="1138">
        <v>177006</v>
      </c>
      <c r="BM186" s="1138">
        <v>32700</v>
      </c>
      <c r="BN186" s="1138">
        <v>0</v>
      </c>
      <c r="BO186" s="1138">
        <v>291511</v>
      </c>
      <c r="BP186" s="1138">
        <v>111153</v>
      </c>
      <c r="BQ186" s="1138">
        <v>126546</v>
      </c>
      <c r="BR186" s="1138">
        <v>172763</v>
      </c>
      <c r="BS186" s="1138">
        <v>33020</v>
      </c>
      <c r="BT186" s="1138">
        <v>679477</v>
      </c>
      <c r="BU186" s="1138">
        <v>92639</v>
      </c>
      <c r="BV186" s="1138">
        <v>188283</v>
      </c>
      <c r="BW186" s="1138">
        <v>34257</v>
      </c>
      <c r="BX186" s="1138">
        <v>56018</v>
      </c>
      <c r="BY186" s="1138">
        <v>19797</v>
      </c>
      <c r="BZ186" s="1138">
        <v>14754</v>
      </c>
      <c r="CA186" s="1138">
        <v>769571</v>
      </c>
      <c r="CB186" s="1138">
        <v>35194</v>
      </c>
    </row>
    <row r="187" spans="1:80" x14ac:dyDescent="0.3">
      <c r="A187" s="269">
        <v>537</v>
      </c>
      <c r="B187" s="1002">
        <v>537</v>
      </c>
      <c r="C187" s="269" t="s">
        <v>920</v>
      </c>
      <c r="D187" s="269" t="s">
        <v>504</v>
      </c>
      <c r="E187" s="1139">
        <v>2</v>
      </c>
      <c r="F187" s="1139">
        <v>0</v>
      </c>
      <c r="G187" s="1139">
        <v>0</v>
      </c>
      <c r="H187" s="1139">
        <v>1</v>
      </c>
      <c r="I187" s="1139">
        <v>1</v>
      </c>
      <c r="J187" s="1139">
        <v>1</v>
      </c>
      <c r="K187" s="1139">
        <v>2</v>
      </c>
      <c r="L187" s="1139">
        <v>1</v>
      </c>
      <c r="M187" s="1139">
        <v>2</v>
      </c>
      <c r="N187" s="1139">
        <v>2</v>
      </c>
      <c r="O187" s="1139">
        <v>2</v>
      </c>
      <c r="P187" s="1139">
        <v>2</v>
      </c>
      <c r="Q187" s="1139">
        <v>2</v>
      </c>
      <c r="R187" s="1139">
        <v>1</v>
      </c>
      <c r="S187" s="1139">
        <v>1</v>
      </c>
      <c r="T187" s="1139">
        <v>2</v>
      </c>
      <c r="U187" s="1139">
        <v>0</v>
      </c>
      <c r="V187" s="1139">
        <v>2</v>
      </c>
      <c r="W187" s="1139">
        <v>0</v>
      </c>
      <c r="X187" s="1139">
        <v>0</v>
      </c>
      <c r="Y187" s="1139">
        <v>1</v>
      </c>
      <c r="Z187" s="1139">
        <v>1</v>
      </c>
      <c r="AA187" s="1139">
        <v>1</v>
      </c>
      <c r="AB187" s="1139">
        <v>2</v>
      </c>
      <c r="AC187" s="1139">
        <v>0</v>
      </c>
      <c r="AD187" s="1139">
        <v>1</v>
      </c>
      <c r="AE187" s="1139">
        <v>2</v>
      </c>
      <c r="AF187" s="1139">
        <v>2</v>
      </c>
      <c r="AG187" s="1139">
        <v>2</v>
      </c>
      <c r="AH187" s="1139">
        <v>0</v>
      </c>
      <c r="AI187" s="1139">
        <v>2</v>
      </c>
      <c r="AJ187" s="1139">
        <v>1</v>
      </c>
      <c r="AK187" s="1139">
        <v>2</v>
      </c>
      <c r="AL187" s="1139">
        <v>2</v>
      </c>
      <c r="AM187" s="1139">
        <v>2</v>
      </c>
      <c r="AN187" s="1139">
        <v>2</v>
      </c>
      <c r="AO187" s="1139">
        <v>1</v>
      </c>
      <c r="AP187" s="1139">
        <v>2</v>
      </c>
      <c r="AQ187" s="1139">
        <v>0</v>
      </c>
      <c r="AR187" s="1139">
        <v>1</v>
      </c>
      <c r="AS187" s="1139">
        <v>2</v>
      </c>
      <c r="AT187" s="1139">
        <v>1</v>
      </c>
      <c r="AU187" s="1139">
        <v>2</v>
      </c>
      <c r="AV187" s="1139">
        <v>2</v>
      </c>
      <c r="AW187" s="1139">
        <v>1</v>
      </c>
      <c r="AX187" s="1139">
        <v>2</v>
      </c>
      <c r="AY187" s="1139">
        <v>2</v>
      </c>
      <c r="AZ187" s="1139">
        <v>1</v>
      </c>
      <c r="BA187" s="1139">
        <v>2</v>
      </c>
      <c r="BB187" s="1139">
        <v>0</v>
      </c>
      <c r="BC187" s="1139">
        <v>0</v>
      </c>
      <c r="BD187" s="1139">
        <v>0</v>
      </c>
      <c r="BE187" s="1139">
        <v>0</v>
      </c>
      <c r="BF187" s="1139">
        <v>0</v>
      </c>
      <c r="BG187" s="1139">
        <v>1</v>
      </c>
      <c r="BH187" s="1139">
        <v>2</v>
      </c>
      <c r="BI187" s="1139">
        <v>2</v>
      </c>
      <c r="BJ187" s="1139">
        <v>1</v>
      </c>
      <c r="BK187" s="1139">
        <v>0</v>
      </c>
      <c r="BL187" s="1139">
        <v>2</v>
      </c>
      <c r="BM187" s="1139">
        <v>2</v>
      </c>
      <c r="BN187" s="1139">
        <v>0</v>
      </c>
      <c r="BO187" s="1139">
        <v>1</v>
      </c>
      <c r="BP187" s="1139">
        <v>1</v>
      </c>
      <c r="BQ187" s="1139">
        <v>1</v>
      </c>
      <c r="BR187" s="1139">
        <v>2</v>
      </c>
      <c r="BS187" s="1139">
        <v>2</v>
      </c>
      <c r="BT187" s="1139">
        <v>2</v>
      </c>
      <c r="BU187" s="1139">
        <v>2</v>
      </c>
      <c r="BV187" s="1139">
        <v>1</v>
      </c>
      <c r="BW187" s="1139">
        <v>2</v>
      </c>
      <c r="BX187" s="1139">
        <v>1</v>
      </c>
      <c r="BY187" s="1139">
        <v>0</v>
      </c>
      <c r="BZ187" s="1139">
        <v>0</v>
      </c>
      <c r="CA187" s="1139">
        <v>1</v>
      </c>
      <c r="CB187" s="1139">
        <v>0</v>
      </c>
    </row>
    <row r="188" spans="1:80" x14ac:dyDescent="0.3">
      <c r="A188" s="269">
        <v>538</v>
      </c>
      <c r="B188" s="1002">
        <v>538</v>
      </c>
      <c r="C188" s="269" t="s">
        <v>921</v>
      </c>
      <c r="D188" s="269" t="s">
        <v>505</v>
      </c>
      <c r="E188" s="1139">
        <v>2</v>
      </c>
      <c r="F188" s="1139">
        <v>0</v>
      </c>
      <c r="G188" s="1139">
        <v>0</v>
      </c>
      <c r="H188" s="1139">
        <v>1</v>
      </c>
      <c r="I188" s="1139">
        <v>1</v>
      </c>
      <c r="J188" s="1139">
        <v>2</v>
      </c>
      <c r="K188" s="1139">
        <v>2</v>
      </c>
      <c r="L188" s="1139">
        <v>1</v>
      </c>
      <c r="M188" s="1139">
        <v>1</v>
      </c>
      <c r="N188" s="1139">
        <v>2</v>
      </c>
      <c r="O188" s="1139">
        <v>2</v>
      </c>
      <c r="P188" s="1139">
        <v>2</v>
      </c>
      <c r="Q188" s="1139">
        <v>2</v>
      </c>
      <c r="R188" s="1139">
        <v>1</v>
      </c>
      <c r="S188" s="1139">
        <v>1</v>
      </c>
      <c r="T188" s="1139">
        <v>2</v>
      </c>
      <c r="U188" s="1139">
        <v>0</v>
      </c>
      <c r="V188" s="1139">
        <v>2</v>
      </c>
      <c r="W188" s="1139">
        <v>0</v>
      </c>
      <c r="X188" s="1139">
        <v>0</v>
      </c>
      <c r="Y188" s="1139">
        <v>2</v>
      </c>
      <c r="Z188" s="1139">
        <v>1</v>
      </c>
      <c r="AA188" s="1139">
        <v>2</v>
      </c>
      <c r="AB188" s="1139">
        <v>2</v>
      </c>
      <c r="AC188" s="1139">
        <v>0</v>
      </c>
      <c r="AD188" s="1139">
        <v>2</v>
      </c>
      <c r="AE188" s="1139">
        <v>2</v>
      </c>
      <c r="AF188" s="1139">
        <v>2</v>
      </c>
      <c r="AG188" s="1139">
        <v>2</v>
      </c>
      <c r="AH188" s="1139">
        <v>0</v>
      </c>
      <c r="AI188" s="1139">
        <v>2</v>
      </c>
      <c r="AJ188" s="1139">
        <v>2</v>
      </c>
      <c r="AK188" s="1139">
        <v>2</v>
      </c>
      <c r="AL188" s="1139">
        <v>2</v>
      </c>
      <c r="AM188" s="1139">
        <v>2</v>
      </c>
      <c r="AN188" s="1139">
        <v>2</v>
      </c>
      <c r="AO188" s="1139">
        <v>1</v>
      </c>
      <c r="AP188" s="1139">
        <v>2</v>
      </c>
      <c r="AQ188" s="1139">
        <v>0</v>
      </c>
      <c r="AR188" s="1139">
        <v>1</v>
      </c>
      <c r="AS188" s="1139">
        <v>2</v>
      </c>
      <c r="AT188" s="1139">
        <v>1</v>
      </c>
      <c r="AU188" s="1139">
        <v>1</v>
      </c>
      <c r="AV188" s="1139">
        <v>2</v>
      </c>
      <c r="AW188" s="1139">
        <v>2</v>
      </c>
      <c r="AX188" s="1139">
        <v>2</v>
      </c>
      <c r="AY188" s="1139">
        <v>2</v>
      </c>
      <c r="AZ188" s="1139">
        <v>1</v>
      </c>
      <c r="BA188" s="1139">
        <v>2</v>
      </c>
      <c r="BB188" s="1139">
        <v>0</v>
      </c>
      <c r="BC188" s="1139">
        <v>0</v>
      </c>
      <c r="BD188" s="1139">
        <v>0</v>
      </c>
      <c r="BE188" s="1139">
        <v>0</v>
      </c>
      <c r="BF188" s="1139">
        <v>0</v>
      </c>
      <c r="BG188" s="1139">
        <v>2</v>
      </c>
      <c r="BH188" s="1139">
        <v>2</v>
      </c>
      <c r="BI188" s="1139">
        <v>2</v>
      </c>
      <c r="BJ188" s="1139">
        <v>2</v>
      </c>
      <c r="BK188" s="1139">
        <v>0</v>
      </c>
      <c r="BL188" s="1139">
        <v>2</v>
      </c>
      <c r="BM188" s="1139">
        <v>2</v>
      </c>
      <c r="BN188" s="1139">
        <v>0</v>
      </c>
      <c r="BO188" s="1139">
        <v>1</v>
      </c>
      <c r="BP188" s="1139">
        <v>1</v>
      </c>
      <c r="BQ188" s="1139">
        <v>1</v>
      </c>
      <c r="BR188" s="1139">
        <v>2</v>
      </c>
      <c r="BS188" s="1139">
        <v>2</v>
      </c>
      <c r="BT188" s="1139">
        <v>2</v>
      </c>
      <c r="BU188" s="1139">
        <v>2</v>
      </c>
      <c r="BV188" s="1139">
        <v>1</v>
      </c>
      <c r="BW188" s="1139">
        <v>2</v>
      </c>
      <c r="BX188" s="1139">
        <v>2</v>
      </c>
      <c r="BY188" s="1139">
        <v>0</v>
      </c>
      <c r="BZ188" s="1139">
        <v>0</v>
      </c>
      <c r="CA188" s="1139">
        <v>2</v>
      </c>
      <c r="CB188" s="1139">
        <v>0</v>
      </c>
    </row>
    <row r="189" spans="1:80" x14ac:dyDescent="0.3">
      <c r="B189" s="1002">
        <v>539</v>
      </c>
      <c r="C189" s="269" t="s">
        <v>922</v>
      </c>
      <c r="D189" s="269" t="s">
        <v>506</v>
      </c>
      <c r="E189" s="1138"/>
      <c r="F189" s="1138"/>
      <c r="G189" s="1138"/>
      <c r="H189" s="1138"/>
      <c r="I189" s="1138"/>
      <c r="J189" s="1138"/>
      <c r="K189" s="1138"/>
      <c r="L189" s="1138"/>
      <c r="M189" s="1138"/>
      <c r="N189" s="1138"/>
      <c r="O189" s="1138"/>
      <c r="P189" s="1138"/>
      <c r="Q189" s="1138"/>
      <c r="R189" s="1138"/>
      <c r="S189" s="1138"/>
      <c r="T189" s="1138"/>
      <c r="U189" s="1138"/>
      <c r="V189" s="1138"/>
      <c r="W189" s="1138"/>
      <c r="X189" s="1138"/>
      <c r="Y189" s="1138"/>
      <c r="Z189" s="1138"/>
      <c r="AA189" s="1138"/>
      <c r="AB189" s="1138"/>
      <c r="AC189" s="1138"/>
      <c r="AD189" s="1138"/>
      <c r="AE189" s="1138"/>
      <c r="AF189" s="1138"/>
      <c r="AG189" s="1138"/>
      <c r="AH189" s="1138"/>
      <c r="AI189" s="1138"/>
      <c r="AJ189" s="1138"/>
      <c r="AK189" s="1138"/>
      <c r="AL189" s="1138"/>
      <c r="AM189" s="1138"/>
      <c r="AN189" s="1138"/>
      <c r="AO189" s="1138"/>
      <c r="AP189" s="1138"/>
      <c r="AQ189" s="1138"/>
      <c r="AR189" s="1138"/>
      <c r="AS189" s="1138"/>
      <c r="AT189" s="1138"/>
      <c r="AU189" s="1138"/>
      <c r="AV189" s="1138"/>
      <c r="AW189" s="1138"/>
      <c r="AX189" s="1138"/>
      <c r="AY189" s="1138"/>
      <c r="AZ189" s="1138"/>
      <c r="BA189" s="1138"/>
      <c r="BB189" s="1138"/>
      <c r="BC189" s="1138"/>
      <c r="BD189" s="1138"/>
      <c r="BE189" s="1138"/>
      <c r="BF189" s="1138"/>
      <c r="BG189" s="1138"/>
      <c r="BH189" s="1138"/>
      <c r="BI189" s="1138"/>
      <c r="BJ189" s="1138"/>
      <c r="BK189" s="1138"/>
      <c r="BL189" s="1138"/>
      <c r="BM189" s="1138"/>
      <c r="BN189" s="1138"/>
      <c r="BO189" s="1138"/>
      <c r="BP189" s="1138"/>
      <c r="BQ189" s="1138"/>
      <c r="BR189" s="1138"/>
      <c r="BS189" s="1138"/>
      <c r="BT189" s="1138"/>
      <c r="BU189" s="1138"/>
      <c r="BV189" s="1138"/>
      <c r="BW189" s="1138"/>
      <c r="BX189" s="1138"/>
      <c r="BY189" s="1138"/>
      <c r="BZ189" s="1138"/>
      <c r="CA189" s="1138"/>
      <c r="CB189" s="1138"/>
    </row>
    <row r="190" spans="1:80" x14ac:dyDescent="0.3">
      <c r="A190" s="269">
        <v>540</v>
      </c>
      <c r="B190" s="1002">
        <v>540</v>
      </c>
      <c r="C190" s="269" t="s">
        <v>923</v>
      </c>
      <c r="D190" s="269" t="s">
        <v>507</v>
      </c>
      <c r="E190" s="1138">
        <v>0</v>
      </c>
      <c r="F190" s="1138">
        <v>0</v>
      </c>
      <c r="G190" s="1138">
        <v>0</v>
      </c>
      <c r="H190" s="1138">
        <v>1488977</v>
      </c>
      <c r="I190" s="1138">
        <v>546859</v>
      </c>
      <c r="J190" s="1138">
        <v>4000</v>
      </c>
      <c r="K190" s="1138">
        <v>714567</v>
      </c>
      <c r="L190" s="1138">
        <v>72196</v>
      </c>
      <c r="M190" s="1138">
        <v>0</v>
      </c>
      <c r="N190" s="1138">
        <v>65608</v>
      </c>
      <c r="O190" s="1138">
        <v>0</v>
      </c>
      <c r="P190" s="1138">
        <v>50000</v>
      </c>
      <c r="Q190" s="1138">
        <v>0</v>
      </c>
      <c r="R190" s="1138">
        <v>1178473</v>
      </c>
      <c r="S190" s="1138">
        <v>393125</v>
      </c>
      <c r="T190" s="1138">
        <v>0</v>
      </c>
      <c r="U190" s="1138">
        <v>0</v>
      </c>
      <c r="V190" s="1138">
        <v>477070</v>
      </c>
      <c r="W190" s="1138">
        <v>0</v>
      </c>
      <c r="X190" s="1138">
        <v>0</v>
      </c>
      <c r="Y190" s="1138">
        <v>700000</v>
      </c>
      <c r="Z190" s="1138">
        <v>0</v>
      </c>
      <c r="AA190" s="1138">
        <v>0</v>
      </c>
      <c r="AB190" s="1138">
        <v>0</v>
      </c>
      <c r="AC190" s="1138">
        <v>30986</v>
      </c>
      <c r="AD190" s="1138">
        <v>0</v>
      </c>
      <c r="AE190" s="1138">
        <v>80715</v>
      </c>
      <c r="AF190" s="1138">
        <v>0</v>
      </c>
      <c r="AG190" s="1138">
        <v>0</v>
      </c>
      <c r="AH190" s="1138">
        <v>0</v>
      </c>
      <c r="AI190" s="1138">
        <v>0</v>
      </c>
      <c r="AJ190" s="1138">
        <v>0</v>
      </c>
      <c r="AK190" s="1138">
        <v>544931</v>
      </c>
      <c r="AL190" s="1138">
        <v>0</v>
      </c>
      <c r="AM190" s="1138">
        <v>0</v>
      </c>
      <c r="AN190" s="1138">
        <v>0</v>
      </c>
      <c r="AO190" s="1138">
        <v>0</v>
      </c>
      <c r="AP190" s="1138">
        <v>0</v>
      </c>
      <c r="AQ190" s="1138">
        <v>75505</v>
      </c>
      <c r="AR190" s="1138">
        <v>1564396</v>
      </c>
      <c r="AS190" s="1138">
        <v>0</v>
      </c>
      <c r="AT190" s="1138">
        <v>0</v>
      </c>
      <c r="AU190" s="1138">
        <v>0</v>
      </c>
      <c r="AV190" s="1138">
        <v>237000</v>
      </c>
      <c r="AW190" s="1138">
        <v>0</v>
      </c>
      <c r="AX190" s="1138">
        <v>0</v>
      </c>
      <c r="AY190" s="1138">
        <v>0</v>
      </c>
      <c r="AZ190" s="1138">
        <v>0</v>
      </c>
      <c r="BA190" s="1138">
        <v>0</v>
      </c>
      <c r="BB190" s="1138">
        <v>0</v>
      </c>
      <c r="BC190" s="1138">
        <v>0</v>
      </c>
      <c r="BD190" s="1138">
        <v>0</v>
      </c>
      <c r="BE190" s="1138">
        <v>31975</v>
      </c>
      <c r="BF190" s="1138">
        <v>0</v>
      </c>
      <c r="BG190" s="1138">
        <v>0</v>
      </c>
      <c r="BH190" s="1138">
        <v>0</v>
      </c>
      <c r="BI190" s="1138">
        <v>0</v>
      </c>
      <c r="BJ190" s="1138">
        <v>165331</v>
      </c>
      <c r="BK190" s="1138">
        <v>0</v>
      </c>
      <c r="BL190" s="1138">
        <v>151726</v>
      </c>
      <c r="BM190" s="1138">
        <v>363444</v>
      </c>
      <c r="BN190" s="1138">
        <v>0</v>
      </c>
      <c r="BO190" s="1138">
        <v>426608</v>
      </c>
      <c r="BP190" s="1138">
        <v>120000</v>
      </c>
      <c r="BQ190" s="1138">
        <v>231848</v>
      </c>
      <c r="BR190" s="1138">
        <v>285522</v>
      </c>
      <c r="BS190" s="1138">
        <v>0</v>
      </c>
      <c r="BT190" s="1138">
        <v>1350000</v>
      </c>
      <c r="BU190" s="1138">
        <v>282000</v>
      </c>
      <c r="BV190" s="1138">
        <v>0</v>
      </c>
      <c r="BW190" s="1138">
        <v>0</v>
      </c>
      <c r="BX190" s="1138">
        <v>0</v>
      </c>
      <c r="BY190" s="1138">
        <v>0</v>
      </c>
      <c r="BZ190" s="1138">
        <v>0</v>
      </c>
      <c r="CA190" s="1138">
        <v>1500000</v>
      </c>
      <c r="CB190" s="1138">
        <v>0</v>
      </c>
    </row>
    <row r="191" spans="1:80" x14ac:dyDescent="0.3">
      <c r="A191" s="269">
        <v>541</v>
      </c>
      <c r="B191" s="1002">
        <v>541</v>
      </c>
      <c r="C191" s="269" t="s">
        <v>924</v>
      </c>
      <c r="D191" s="269" t="s">
        <v>508</v>
      </c>
      <c r="E191" s="1138">
        <v>0</v>
      </c>
      <c r="F191" s="1138">
        <v>0</v>
      </c>
      <c r="G191" s="1138">
        <v>0</v>
      </c>
      <c r="H191" s="1138">
        <v>6376893</v>
      </c>
      <c r="I191" s="1138">
        <v>1658793</v>
      </c>
      <c r="J191" s="1138">
        <v>15302</v>
      </c>
      <c r="K191" s="1138">
        <v>559421</v>
      </c>
      <c r="L191" s="1138">
        <v>89506</v>
      </c>
      <c r="M191" s="1138">
        <v>-180205</v>
      </c>
      <c r="N191" s="1138">
        <v>0</v>
      </c>
      <c r="O191" s="1138">
        <v>-70271</v>
      </c>
      <c r="P191" s="1138">
        <v>35682</v>
      </c>
      <c r="Q191" s="1138">
        <v>0</v>
      </c>
      <c r="R191" s="1138">
        <v>70829</v>
      </c>
      <c r="S191" s="1138">
        <v>725400</v>
      </c>
      <c r="T191" s="1138">
        <v>2712837</v>
      </c>
      <c r="U191" s="1138">
        <v>0</v>
      </c>
      <c r="V191" s="1138">
        <v>-1875915</v>
      </c>
      <c r="W191" s="1138">
        <v>0</v>
      </c>
      <c r="X191" s="1138">
        <v>0</v>
      </c>
      <c r="Y191" s="1138">
        <v>-58878</v>
      </c>
      <c r="Z191" s="1138">
        <v>188173</v>
      </c>
      <c r="AA191" s="1138">
        <v>265349</v>
      </c>
      <c r="AB191" s="1138">
        <v>395768</v>
      </c>
      <c r="AC191" s="1138">
        <v>0</v>
      </c>
      <c r="AD191" s="1138">
        <v>-4096</v>
      </c>
      <c r="AE191" s="1138">
        <v>88617</v>
      </c>
      <c r="AF191" s="1138">
        <v>302028</v>
      </c>
      <c r="AG191" s="1138">
        <v>12900</v>
      </c>
      <c r="AH191" s="1138">
        <v>0</v>
      </c>
      <c r="AI191" s="1138">
        <v>0</v>
      </c>
      <c r="AJ191" s="1138">
        <v>79539</v>
      </c>
      <c r="AK191" s="1138">
        <v>975656</v>
      </c>
      <c r="AL191" s="1138">
        <v>5353</v>
      </c>
      <c r="AM191" s="1138">
        <v>0</v>
      </c>
      <c r="AN191" s="1138">
        <v>2907656</v>
      </c>
      <c r="AO191" s="1138">
        <v>1435173</v>
      </c>
      <c r="AP191" s="1138">
        <v>39773</v>
      </c>
      <c r="AQ191" s="1138">
        <v>0</v>
      </c>
      <c r="AR191" s="1138">
        <v>2081762</v>
      </c>
      <c r="AS191" s="1138">
        <v>62673</v>
      </c>
      <c r="AT191" s="1138">
        <v>15586</v>
      </c>
      <c r="AU191" s="1138">
        <v>-537362</v>
      </c>
      <c r="AV191" s="1138">
        <v>2335057</v>
      </c>
      <c r="AW191" s="1138">
        <v>100736</v>
      </c>
      <c r="AX191" s="1138">
        <v>-1008</v>
      </c>
      <c r="AY191" s="1138">
        <v>271653</v>
      </c>
      <c r="AZ191" s="1138">
        <v>246501</v>
      </c>
      <c r="BA191" s="1138">
        <v>-16896</v>
      </c>
      <c r="BB191" s="1138">
        <v>0</v>
      </c>
      <c r="BC191" s="1138">
        <v>0</v>
      </c>
      <c r="BD191" s="1138">
        <v>0</v>
      </c>
      <c r="BE191" s="1138">
        <v>0</v>
      </c>
      <c r="BF191" s="1138">
        <v>0</v>
      </c>
      <c r="BG191" s="1138">
        <v>3956</v>
      </c>
      <c r="BH191" s="1138">
        <v>0</v>
      </c>
      <c r="BI191" s="1138">
        <v>-181820</v>
      </c>
      <c r="BJ191" s="1138">
        <v>129033</v>
      </c>
      <c r="BK191" s="1138">
        <v>0</v>
      </c>
      <c r="BL191" s="1138">
        <v>145605</v>
      </c>
      <c r="BM191" s="1138">
        <v>233787</v>
      </c>
      <c r="BN191" s="1138">
        <v>0</v>
      </c>
      <c r="BO191" s="1138">
        <v>271742</v>
      </c>
      <c r="BP191" s="1138">
        <v>280417</v>
      </c>
      <c r="BQ191" s="1138">
        <v>32608</v>
      </c>
      <c r="BR191" s="1138">
        <v>211075</v>
      </c>
      <c r="BS191" s="1138">
        <v>0</v>
      </c>
      <c r="BT191" s="1138">
        <v>0</v>
      </c>
      <c r="BU191" s="1138">
        <v>169475</v>
      </c>
      <c r="BV191" s="1138">
        <v>149663</v>
      </c>
      <c r="BW191" s="1138">
        <v>68253</v>
      </c>
      <c r="BX191" s="1138">
        <v>168947</v>
      </c>
      <c r="BY191" s="1138">
        <v>0</v>
      </c>
      <c r="BZ191" s="1138">
        <v>0</v>
      </c>
      <c r="CA191" s="1138">
        <v>251380</v>
      </c>
      <c r="CB191" s="1138">
        <v>0</v>
      </c>
    </row>
    <row r="192" spans="1:80" x14ac:dyDescent="0.3">
      <c r="A192" s="269">
        <v>542</v>
      </c>
      <c r="B192" s="1002">
        <v>542</v>
      </c>
      <c r="C192" s="269" t="s">
        <v>925</v>
      </c>
      <c r="D192" s="269" t="s">
        <v>509</v>
      </c>
      <c r="E192" s="1138">
        <v>0</v>
      </c>
      <c r="F192" s="1138">
        <v>0</v>
      </c>
      <c r="G192" s="1138">
        <v>0</v>
      </c>
      <c r="H192" s="1138">
        <v>1279331</v>
      </c>
      <c r="I192" s="1138">
        <v>370305</v>
      </c>
      <c r="J192" s="1138">
        <v>0</v>
      </c>
      <c r="K192" s="1138">
        <v>0</v>
      </c>
      <c r="L192" s="1138">
        <v>0</v>
      </c>
      <c r="M192" s="1138">
        <v>0</v>
      </c>
      <c r="N192" s="1138">
        <v>0</v>
      </c>
      <c r="O192" s="1138">
        <v>0</v>
      </c>
      <c r="P192" s="1138">
        <v>0</v>
      </c>
      <c r="Q192" s="1138">
        <v>0</v>
      </c>
      <c r="R192" s="1138">
        <v>0</v>
      </c>
      <c r="S192" s="1138">
        <v>0</v>
      </c>
      <c r="T192" s="1138">
        <v>0</v>
      </c>
      <c r="U192" s="1138">
        <v>0</v>
      </c>
      <c r="V192" s="1138">
        <v>0</v>
      </c>
      <c r="W192" s="1138">
        <v>0</v>
      </c>
      <c r="X192" s="1138">
        <v>0</v>
      </c>
      <c r="Y192" s="1138">
        <v>0</v>
      </c>
      <c r="Z192" s="1138">
        <v>0</v>
      </c>
      <c r="AA192" s="1138">
        <v>0</v>
      </c>
      <c r="AB192" s="1138">
        <v>0</v>
      </c>
      <c r="AC192" s="1138">
        <v>0</v>
      </c>
      <c r="AD192" s="1138">
        <v>0</v>
      </c>
      <c r="AE192" s="1138">
        <v>0</v>
      </c>
      <c r="AF192" s="1138">
        <v>0</v>
      </c>
      <c r="AG192" s="1138">
        <v>0</v>
      </c>
      <c r="AH192" s="1138">
        <v>0</v>
      </c>
      <c r="AI192" s="1138">
        <v>0</v>
      </c>
      <c r="AJ192" s="1138">
        <v>53297</v>
      </c>
      <c r="AK192" s="1138">
        <v>5111763</v>
      </c>
      <c r="AL192" s="1138">
        <v>0</v>
      </c>
      <c r="AM192" s="1138">
        <v>0</v>
      </c>
      <c r="AN192" s="1138">
        <v>0</v>
      </c>
      <c r="AO192" s="1138">
        <v>0</v>
      </c>
      <c r="AP192" s="1138">
        <v>0</v>
      </c>
      <c r="AQ192" s="1138">
        <v>0</v>
      </c>
      <c r="AR192" s="1138">
        <v>0</v>
      </c>
      <c r="AS192" s="1138">
        <v>0</v>
      </c>
      <c r="AT192" s="1138">
        <v>0</v>
      </c>
      <c r="AU192" s="1138">
        <v>0</v>
      </c>
      <c r="AV192" s="1138">
        <v>0</v>
      </c>
      <c r="AW192" s="1138">
        <v>0</v>
      </c>
      <c r="AX192" s="1138">
        <v>0</v>
      </c>
      <c r="AY192" s="1138">
        <v>0</v>
      </c>
      <c r="AZ192" s="1138">
        <v>0</v>
      </c>
      <c r="BA192" s="1138">
        <v>0</v>
      </c>
      <c r="BB192" s="1138">
        <v>0</v>
      </c>
      <c r="BC192" s="1138">
        <v>0</v>
      </c>
      <c r="BD192" s="1138">
        <v>0</v>
      </c>
      <c r="BE192" s="1138">
        <v>0</v>
      </c>
      <c r="BF192" s="1138">
        <v>0</v>
      </c>
      <c r="BG192" s="1138">
        <v>0</v>
      </c>
      <c r="BH192" s="1138">
        <v>0</v>
      </c>
      <c r="BI192" s="1138">
        <v>0</v>
      </c>
      <c r="BJ192" s="1138">
        <v>0</v>
      </c>
      <c r="BK192" s="1138">
        <v>0</v>
      </c>
      <c r="BL192" s="1138">
        <v>34935</v>
      </c>
      <c r="BM192" s="1138">
        <v>297000</v>
      </c>
      <c r="BN192" s="1138">
        <v>0</v>
      </c>
      <c r="BO192" s="1138">
        <v>304571</v>
      </c>
      <c r="BP192" s="1138">
        <v>25000</v>
      </c>
      <c r="BQ192" s="1138">
        <v>0</v>
      </c>
      <c r="BR192" s="1138">
        <v>0</v>
      </c>
      <c r="BS192" s="1138">
        <v>0</v>
      </c>
      <c r="BT192" s="1138">
        <v>0</v>
      </c>
      <c r="BU192" s="1138">
        <v>0</v>
      </c>
      <c r="BV192" s="1138">
        <v>350000</v>
      </c>
      <c r="BW192" s="1138">
        <v>0</v>
      </c>
      <c r="BX192" s="1138">
        <v>0</v>
      </c>
      <c r="BY192" s="1138">
        <v>0</v>
      </c>
      <c r="BZ192" s="1138">
        <v>0</v>
      </c>
      <c r="CA192" s="1138">
        <v>2327400</v>
      </c>
      <c r="CB192" s="1138">
        <v>0</v>
      </c>
    </row>
    <row r="193" spans="1:80" x14ac:dyDescent="0.3">
      <c r="B193" s="1002">
        <v>543</v>
      </c>
      <c r="C193" s="269" t="s">
        <v>926</v>
      </c>
      <c r="D193" s="269" t="s">
        <v>510</v>
      </c>
      <c r="E193" s="1138">
        <v>0</v>
      </c>
      <c r="F193" s="1138">
        <v>0</v>
      </c>
      <c r="G193" s="1138">
        <v>0</v>
      </c>
      <c r="H193" s="1138">
        <v>0</v>
      </c>
      <c r="I193" s="1138">
        <v>0</v>
      </c>
      <c r="J193" s="1138">
        <v>0</v>
      </c>
      <c r="K193" s="1138">
        <v>0</v>
      </c>
      <c r="L193" s="1138">
        <v>0</v>
      </c>
      <c r="M193" s="1138">
        <v>0</v>
      </c>
      <c r="N193" s="1138">
        <v>0</v>
      </c>
      <c r="O193" s="1138">
        <v>0</v>
      </c>
      <c r="P193" s="1138">
        <v>0</v>
      </c>
      <c r="Q193" s="1138">
        <v>0</v>
      </c>
      <c r="R193" s="1138">
        <v>0</v>
      </c>
      <c r="S193" s="1138">
        <v>0</v>
      </c>
      <c r="T193" s="1138">
        <v>0</v>
      </c>
      <c r="U193" s="1138">
        <v>0</v>
      </c>
      <c r="V193" s="1138">
        <v>0</v>
      </c>
      <c r="W193" s="1138">
        <v>0</v>
      </c>
      <c r="X193" s="1138">
        <v>0</v>
      </c>
      <c r="Y193" s="1138">
        <v>0</v>
      </c>
      <c r="Z193" s="1138">
        <v>0</v>
      </c>
      <c r="AA193" s="1138">
        <v>0</v>
      </c>
      <c r="AB193" s="1138">
        <v>0</v>
      </c>
      <c r="AC193" s="1138">
        <v>0</v>
      </c>
      <c r="AD193" s="1138">
        <v>0</v>
      </c>
      <c r="AE193" s="1138">
        <v>0</v>
      </c>
      <c r="AF193" s="1138">
        <v>0</v>
      </c>
      <c r="AG193" s="1138">
        <v>0</v>
      </c>
      <c r="AH193" s="1138">
        <v>0</v>
      </c>
      <c r="AI193" s="1138">
        <v>0</v>
      </c>
      <c r="AJ193" s="1138">
        <v>0</v>
      </c>
      <c r="AK193" s="1138">
        <v>0</v>
      </c>
      <c r="AL193" s="1138">
        <v>0</v>
      </c>
      <c r="AM193" s="1138">
        <v>0</v>
      </c>
      <c r="AN193" s="1138">
        <v>0</v>
      </c>
      <c r="AO193" s="1138">
        <v>0</v>
      </c>
      <c r="AP193" s="1138">
        <v>0</v>
      </c>
      <c r="AQ193" s="1138">
        <v>0</v>
      </c>
      <c r="AR193" s="1138">
        <v>0</v>
      </c>
      <c r="AS193" s="1138">
        <v>0</v>
      </c>
      <c r="AT193" s="1138">
        <v>0</v>
      </c>
      <c r="AU193" s="1138">
        <v>0</v>
      </c>
      <c r="AV193" s="1138">
        <v>0</v>
      </c>
      <c r="AW193" s="1138">
        <v>0</v>
      </c>
      <c r="AX193" s="1138">
        <v>0</v>
      </c>
      <c r="AY193" s="1138">
        <v>0</v>
      </c>
      <c r="AZ193" s="1138">
        <v>0</v>
      </c>
      <c r="BA193" s="1138">
        <v>0</v>
      </c>
      <c r="BB193" s="1138">
        <v>0</v>
      </c>
      <c r="BC193" s="1138">
        <v>0</v>
      </c>
      <c r="BD193" s="1138">
        <v>0</v>
      </c>
      <c r="BE193" s="1138">
        <v>0</v>
      </c>
      <c r="BF193" s="1138">
        <v>0</v>
      </c>
      <c r="BG193" s="1138">
        <v>0</v>
      </c>
      <c r="BH193" s="1138">
        <v>0</v>
      </c>
      <c r="BI193" s="1138">
        <v>0</v>
      </c>
      <c r="BJ193" s="1138">
        <v>0</v>
      </c>
      <c r="BK193" s="1138">
        <v>0</v>
      </c>
      <c r="BL193" s="1138">
        <v>0</v>
      </c>
      <c r="BM193" s="1138">
        <v>0</v>
      </c>
      <c r="BN193" s="1138">
        <v>0</v>
      </c>
      <c r="BO193" s="1138">
        <v>0</v>
      </c>
      <c r="BP193" s="1138">
        <v>0</v>
      </c>
      <c r="BQ193" s="1138">
        <v>0</v>
      </c>
      <c r="BR193" s="1138">
        <v>0</v>
      </c>
      <c r="BS193" s="1138">
        <v>0</v>
      </c>
      <c r="BT193" s="1138">
        <v>0</v>
      </c>
      <c r="BU193" s="1138">
        <v>0</v>
      </c>
      <c r="BV193" s="1138">
        <v>0</v>
      </c>
      <c r="BW193" s="1138">
        <v>0</v>
      </c>
      <c r="BX193" s="1138">
        <v>0</v>
      </c>
      <c r="BY193" s="1138">
        <v>0</v>
      </c>
      <c r="BZ193" s="1138">
        <v>0</v>
      </c>
      <c r="CA193" s="1138">
        <v>0</v>
      </c>
      <c r="CB193" s="1138">
        <v>0</v>
      </c>
    </row>
    <row r="194" spans="1:80" x14ac:dyDescent="0.3">
      <c r="A194" s="269">
        <v>544</v>
      </c>
      <c r="B194" s="1002">
        <v>544</v>
      </c>
      <c r="C194" s="269" t="s">
        <v>53</v>
      </c>
      <c r="D194" s="269" t="s">
        <v>511</v>
      </c>
      <c r="E194" s="1139">
        <v>0</v>
      </c>
      <c r="F194" s="1139">
        <v>0</v>
      </c>
      <c r="G194" s="1139">
        <v>0</v>
      </c>
      <c r="H194" s="1139">
        <v>0</v>
      </c>
      <c r="I194" s="1139">
        <v>0</v>
      </c>
      <c r="J194" s="1139">
        <v>0.03</v>
      </c>
      <c r="K194" s="1139">
        <v>0.01</v>
      </c>
      <c r="L194" s="1139">
        <v>0</v>
      </c>
      <c r="M194" s="1139">
        <v>0</v>
      </c>
      <c r="N194" s="1139">
        <v>0</v>
      </c>
      <c r="O194" s="1139">
        <v>0</v>
      </c>
      <c r="P194" s="1139">
        <v>0</v>
      </c>
      <c r="Q194" s="1139">
        <v>0</v>
      </c>
      <c r="R194" s="1139">
        <v>0</v>
      </c>
      <c r="S194" s="1139">
        <v>0</v>
      </c>
      <c r="T194" s="1139">
        <v>0</v>
      </c>
      <c r="U194" s="1139">
        <v>0</v>
      </c>
      <c r="V194" s="1139">
        <v>0</v>
      </c>
      <c r="W194" s="1139">
        <v>0</v>
      </c>
      <c r="X194" s="1139">
        <v>0</v>
      </c>
      <c r="Y194" s="1139">
        <v>0</v>
      </c>
      <c r="Z194" s="1139">
        <v>4.5</v>
      </c>
      <c r="AA194" s="1139">
        <v>0</v>
      </c>
      <c r="AB194" s="1139">
        <v>0.08</v>
      </c>
      <c r="AC194" s="1139">
        <v>0.01</v>
      </c>
      <c r="AD194" s="1139">
        <v>0</v>
      </c>
      <c r="AE194" s="1139">
        <v>0</v>
      </c>
      <c r="AF194" s="1139">
        <v>0</v>
      </c>
      <c r="AG194" s="1139">
        <v>0</v>
      </c>
      <c r="AH194" s="1139">
        <v>0</v>
      </c>
      <c r="AI194" s="1139">
        <v>0</v>
      </c>
      <c r="AJ194" s="1139">
        <v>0</v>
      </c>
      <c r="AK194" s="1139">
        <v>0</v>
      </c>
      <c r="AL194" s="1139">
        <v>0</v>
      </c>
      <c r="AM194" s="1139">
        <v>0</v>
      </c>
      <c r="AN194" s="1139">
        <v>0</v>
      </c>
      <c r="AO194" s="1139">
        <v>0</v>
      </c>
      <c r="AP194" s="1139">
        <v>0</v>
      </c>
      <c r="AQ194" s="1139">
        <v>0</v>
      </c>
      <c r="AR194" s="1139">
        <v>0</v>
      </c>
      <c r="AS194" s="1139">
        <v>0</v>
      </c>
      <c r="AT194" s="1139">
        <v>0</v>
      </c>
      <c r="AU194" s="1139">
        <v>0</v>
      </c>
      <c r="AV194" s="1139">
        <v>0</v>
      </c>
      <c r="AW194" s="1139">
        <v>0</v>
      </c>
      <c r="AX194" s="1139">
        <v>0</v>
      </c>
      <c r="AY194" s="1139">
        <v>0</v>
      </c>
      <c r="AZ194" s="1139">
        <v>0.05</v>
      </c>
      <c r="BA194" s="1139">
        <v>0</v>
      </c>
      <c r="BB194" s="1139">
        <v>0</v>
      </c>
      <c r="BC194" s="1139">
        <v>0</v>
      </c>
      <c r="BD194" s="1139">
        <v>0</v>
      </c>
      <c r="BE194" s="1139">
        <v>0</v>
      </c>
      <c r="BF194" s="1139">
        <v>0</v>
      </c>
      <c r="BG194" s="1139">
        <v>0</v>
      </c>
      <c r="BH194" s="1139">
        <v>0</v>
      </c>
      <c r="BI194" s="1139">
        <v>0</v>
      </c>
      <c r="BJ194" s="1139">
        <v>0</v>
      </c>
      <c r="BK194" s="1139">
        <v>0</v>
      </c>
      <c r="BL194" s="1139">
        <v>0</v>
      </c>
      <c r="BM194" s="1139">
        <v>0</v>
      </c>
      <c r="BN194" s="1139">
        <v>0</v>
      </c>
      <c r="BO194" s="1139">
        <v>0</v>
      </c>
      <c r="BP194" s="1139">
        <v>0</v>
      </c>
      <c r="BQ194" s="1139">
        <v>0</v>
      </c>
      <c r="BR194" s="1139">
        <v>0</v>
      </c>
      <c r="BS194" s="1139">
        <v>0</v>
      </c>
      <c r="BT194" s="1139">
        <v>0.02</v>
      </c>
      <c r="BU194" s="1139">
        <v>0</v>
      </c>
      <c r="BV194" s="1139">
        <v>0</v>
      </c>
      <c r="BW194" s="1139">
        <v>0</v>
      </c>
      <c r="BX194" s="1139">
        <v>0</v>
      </c>
      <c r="BY194" s="1139">
        <v>0</v>
      </c>
      <c r="BZ194" s="1139">
        <v>0</v>
      </c>
      <c r="CA194" s="1139">
        <v>0</v>
      </c>
      <c r="CB194" s="1139">
        <v>0</v>
      </c>
    </row>
    <row r="195" spans="1:80" x14ac:dyDescent="0.3">
      <c r="A195" s="269">
        <v>545</v>
      </c>
      <c r="B195" s="1002">
        <v>545</v>
      </c>
      <c r="C195" s="269" t="s">
        <v>54</v>
      </c>
      <c r="D195" s="269" t="s">
        <v>512</v>
      </c>
      <c r="E195" s="1139">
        <v>0.03</v>
      </c>
      <c r="F195" s="1139">
        <v>0</v>
      </c>
      <c r="G195" s="1139">
        <v>0</v>
      </c>
      <c r="H195" s="1139">
        <v>0</v>
      </c>
      <c r="I195" s="1139">
        <v>0</v>
      </c>
      <c r="J195" s="1139">
        <v>0</v>
      </c>
      <c r="K195" s="1139">
        <v>0.01</v>
      </c>
      <c r="L195" s="1139">
        <v>0</v>
      </c>
      <c r="M195" s="1139">
        <v>0</v>
      </c>
      <c r="N195" s="1139">
        <v>0</v>
      </c>
      <c r="O195" s="1139">
        <v>0</v>
      </c>
      <c r="P195" s="1139">
        <v>0</v>
      </c>
      <c r="Q195" s="1139">
        <v>0</v>
      </c>
      <c r="R195" s="1139">
        <v>0</v>
      </c>
      <c r="S195" s="1139">
        <v>0</v>
      </c>
      <c r="T195" s="1139">
        <v>0</v>
      </c>
      <c r="U195" s="1139">
        <v>0</v>
      </c>
      <c r="V195" s="1139">
        <v>0.03</v>
      </c>
      <c r="W195" s="1139">
        <v>0</v>
      </c>
      <c r="X195" s="1139">
        <v>0</v>
      </c>
      <c r="Y195" s="1139">
        <v>0</v>
      </c>
      <c r="Z195" s="1139">
        <v>0</v>
      </c>
      <c r="AA195" s="1139">
        <v>0</v>
      </c>
      <c r="AB195" s="1139">
        <v>0</v>
      </c>
      <c r="AC195" s="1139">
        <v>0</v>
      </c>
      <c r="AD195" s="1139">
        <v>0</v>
      </c>
      <c r="AE195" s="1139">
        <v>0</v>
      </c>
      <c r="AF195" s="1139">
        <v>0</v>
      </c>
      <c r="AG195" s="1139">
        <v>0.4</v>
      </c>
      <c r="AH195" s="1139">
        <v>0</v>
      </c>
      <c r="AI195" s="1139">
        <v>0</v>
      </c>
      <c r="AJ195" s="1139">
        <v>0.01</v>
      </c>
      <c r="AK195" s="1139">
        <v>0</v>
      </c>
      <c r="AL195" s="1139">
        <v>0</v>
      </c>
      <c r="AM195" s="1139">
        <v>0</v>
      </c>
      <c r="AN195" s="1139">
        <v>0</v>
      </c>
      <c r="AO195" s="1139">
        <v>0</v>
      </c>
      <c r="AP195" s="1139">
        <v>0</v>
      </c>
      <c r="AQ195" s="1139">
        <v>0</v>
      </c>
      <c r="AR195" s="1139">
        <v>0</v>
      </c>
      <c r="AS195" s="1139">
        <v>0</v>
      </c>
      <c r="AT195" s="1139">
        <v>0</v>
      </c>
      <c r="AU195" s="1139">
        <v>0</v>
      </c>
      <c r="AV195" s="1139">
        <v>0</v>
      </c>
      <c r="AW195" s="1139">
        <v>0</v>
      </c>
      <c r="AX195" s="1139">
        <v>0</v>
      </c>
      <c r="AY195" s="1139">
        <v>0</v>
      </c>
      <c r="AZ195" s="1139">
        <v>0</v>
      </c>
      <c r="BA195" s="1139">
        <v>0</v>
      </c>
      <c r="BB195" s="1139">
        <v>0</v>
      </c>
      <c r="BC195" s="1139">
        <v>0</v>
      </c>
      <c r="BD195" s="1139">
        <v>0</v>
      </c>
      <c r="BE195" s="1139">
        <v>0</v>
      </c>
      <c r="BF195" s="1139">
        <v>0</v>
      </c>
      <c r="BG195" s="1139">
        <v>6</v>
      </c>
      <c r="BH195" s="1139">
        <v>0</v>
      </c>
      <c r="BI195" s="1139">
        <v>0</v>
      </c>
      <c r="BJ195" s="1139">
        <v>0</v>
      </c>
      <c r="BK195" s="1139">
        <v>0</v>
      </c>
      <c r="BL195" s="1139">
        <v>0</v>
      </c>
      <c r="BM195" s="1139">
        <v>0</v>
      </c>
      <c r="BN195" s="1139">
        <v>0</v>
      </c>
      <c r="BO195" s="1139">
        <v>0</v>
      </c>
      <c r="BP195" s="1139">
        <v>0</v>
      </c>
      <c r="BQ195" s="1139">
        <v>0</v>
      </c>
      <c r="BR195" s="1139">
        <v>0</v>
      </c>
      <c r="BS195" s="1139">
        <v>0</v>
      </c>
      <c r="BT195" s="1139">
        <v>0</v>
      </c>
      <c r="BU195" s="1139">
        <v>0</v>
      </c>
      <c r="BV195" s="1139">
        <v>0</v>
      </c>
      <c r="BW195" s="1139">
        <v>0</v>
      </c>
      <c r="BX195" s="1139">
        <v>0</v>
      </c>
      <c r="BY195" s="1139">
        <v>0</v>
      </c>
      <c r="BZ195" s="1139">
        <v>0</v>
      </c>
      <c r="CA195" s="1139">
        <v>0</v>
      </c>
      <c r="CB195" s="1139">
        <v>0</v>
      </c>
    </row>
    <row r="196" spans="1:80" x14ac:dyDescent="0.3">
      <c r="B196" s="1002">
        <v>546</v>
      </c>
      <c r="C196" s="269" t="s">
        <v>927</v>
      </c>
      <c r="D196" s="269" t="s">
        <v>513</v>
      </c>
      <c r="E196" s="1138"/>
      <c r="F196" s="1138"/>
      <c r="G196" s="1138"/>
      <c r="H196" s="1138"/>
      <c r="I196" s="1138"/>
      <c r="J196" s="1138"/>
      <c r="K196" s="1138"/>
      <c r="L196" s="1138"/>
      <c r="M196" s="1138"/>
      <c r="N196" s="1138"/>
      <c r="O196" s="1138"/>
      <c r="P196" s="1138"/>
      <c r="Q196" s="1138"/>
      <c r="R196" s="1138"/>
      <c r="S196" s="1138"/>
      <c r="T196" s="1138"/>
      <c r="U196" s="1138"/>
      <c r="V196" s="1138"/>
      <c r="W196" s="1138"/>
      <c r="X196" s="1138"/>
      <c r="Y196" s="1138"/>
      <c r="Z196" s="1138"/>
      <c r="AA196" s="1138"/>
      <c r="AB196" s="1138"/>
      <c r="AC196" s="1138"/>
      <c r="AD196" s="1138"/>
      <c r="AE196" s="1138"/>
      <c r="AF196" s="1138"/>
      <c r="AG196" s="1138"/>
      <c r="AH196" s="1138"/>
      <c r="AI196" s="1138"/>
      <c r="AJ196" s="1138"/>
      <c r="AK196" s="1138"/>
      <c r="AL196" s="1138"/>
      <c r="AM196" s="1138"/>
      <c r="AN196" s="1138"/>
      <c r="AO196" s="1138"/>
      <c r="AP196" s="1138"/>
      <c r="AQ196" s="1138"/>
      <c r="AR196" s="1138"/>
      <c r="AS196" s="1138"/>
      <c r="AT196" s="1138"/>
      <c r="AU196" s="1138"/>
      <c r="AV196" s="1138"/>
      <c r="AW196" s="1138"/>
      <c r="AX196" s="1138"/>
      <c r="AY196" s="1138"/>
      <c r="AZ196" s="1138"/>
      <c r="BA196" s="1138"/>
      <c r="BB196" s="1138"/>
      <c r="BC196" s="1138"/>
      <c r="BD196" s="1138"/>
      <c r="BE196" s="1138"/>
      <c r="BF196" s="1138"/>
      <c r="BG196" s="1138"/>
      <c r="BH196" s="1138"/>
      <c r="BI196" s="1138"/>
      <c r="BJ196" s="1138"/>
      <c r="BK196" s="1138"/>
      <c r="BL196" s="1138"/>
      <c r="BM196" s="1138"/>
      <c r="BN196" s="1138"/>
      <c r="BO196" s="1138"/>
      <c r="BP196" s="1138"/>
      <c r="BQ196" s="1138"/>
      <c r="BR196" s="1138"/>
      <c r="BS196" s="1138"/>
      <c r="BT196" s="1138"/>
      <c r="BU196" s="1138"/>
      <c r="BV196" s="1138"/>
      <c r="BW196" s="1138"/>
      <c r="BX196" s="1138"/>
      <c r="BY196" s="1138"/>
      <c r="BZ196" s="1138"/>
      <c r="CA196" s="1138"/>
      <c r="CB196" s="1138"/>
    </row>
    <row r="197" spans="1:80" x14ac:dyDescent="0.3">
      <c r="A197" s="269">
        <v>547</v>
      </c>
      <c r="B197" s="1002">
        <v>547</v>
      </c>
      <c r="C197" s="269" t="s">
        <v>933</v>
      </c>
      <c r="D197" s="269" t="s">
        <v>514</v>
      </c>
      <c r="E197" s="1138">
        <v>2</v>
      </c>
      <c r="F197" s="1138">
        <v>2</v>
      </c>
      <c r="G197" s="1138">
        <v>0</v>
      </c>
      <c r="H197" s="1138">
        <v>1</v>
      </c>
      <c r="I197" s="1138">
        <v>3</v>
      </c>
      <c r="J197" s="1138">
        <v>3</v>
      </c>
      <c r="K197" s="1138">
        <v>2</v>
      </c>
      <c r="L197" s="1138">
        <v>3</v>
      </c>
      <c r="M197" s="1138">
        <v>3</v>
      </c>
      <c r="N197" s="1138">
        <v>2</v>
      </c>
      <c r="O197" s="1138">
        <v>3</v>
      </c>
      <c r="P197" s="1138">
        <v>2</v>
      </c>
      <c r="Q197" s="1138">
        <v>3</v>
      </c>
      <c r="R197" s="1138">
        <v>3</v>
      </c>
      <c r="S197" s="1138">
        <v>3</v>
      </c>
      <c r="T197" s="1138">
        <v>3</v>
      </c>
      <c r="U197" s="1138">
        <v>0</v>
      </c>
      <c r="V197" s="1138">
        <v>3</v>
      </c>
      <c r="W197" s="1138">
        <v>2</v>
      </c>
      <c r="X197" s="1138">
        <v>3</v>
      </c>
      <c r="Y197" s="1138">
        <v>3</v>
      </c>
      <c r="Z197" s="1138">
        <v>3</v>
      </c>
      <c r="AA197" s="1138">
        <v>3</v>
      </c>
      <c r="AB197" s="1138">
        <v>4</v>
      </c>
      <c r="AC197" s="1138">
        <v>2</v>
      </c>
      <c r="AD197" s="1138">
        <v>2</v>
      </c>
      <c r="AE197" s="1138">
        <v>2</v>
      </c>
      <c r="AF197" s="1138">
        <v>2</v>
      </c>
      <c r="AG197" s="1138">
        <v>2</v>
      </c>
      <c r="AH197" s="1138">
        <v>2</v>
      </c>
      <c r="AI197" s="1138">
        <v>2</v>
      </c>
      <c r="AJ197" s="1138">
        <v>2</v>
      </c>
      <c r="AK197" s="1138">
        <v>3</v>
      </c>
      <c r="AL197" s="1138">
        <v>2</v>
      </c>
      <c r="AM197" s="1138">
        <v>2</v>
      </c>
      <c r="AN197" s="1138">
        <v>2</v>
      </c>
      <c r="AO197" s="1138">
        <v>3</v>
      </c>
      <c r="AP197" s="1138">
        <v>2</v>
      </c>
      <c r="AQ197" s="1138">
        <v>2</v>
      </c>
      <c r="AR197" s="1138">
        <v>3</v>
      </c>
      <c r="AS197" s="1138">
        <v>2</v>
      </c>
      <c r="AT197" s="1138">
        <v>3</v>
      </c>
      <c r="AU197" s="1138">
        <v>3</v>
      </c>
      <c r="AV197" s="1138">
        <v>3</v>
      </c>
      <c r="AW197" s="1138">
        <v>2</v>
      </c>
      <c r="AX197" s="1138">
        <v>2</v>
      </c>
      <c r="AY197" s="1138">
        <v>2</v>
      </c>
      <c r="AZ197" s="1138">
        <v>1</v>
      </c>
      <c r="BA197" s="1138">
        <v>3</v>
      </c>
      <c r="BB197" s="1138">
        <v>2</v>
      </c>
      <c r="BC197" s="1138">
        <v>0</v>
      </c>
      <c r="BD197" s="1138">
        <v>0</v>
      </c>
      <c r="BE197" s="1138">
        <v>2</v>
      </c>
      <c r="BF197" s="1138">
        <v>0</v>
      </c>
      <c r="BG197" s="1138">
        <v>2</v>
      </c>
      <c r="BH197" s="1138">
        <v>2</v>
      </c>
      <c r="BI197" s="1138">
        <v>3</v>
      </c>
      <c r="BJ197" s="1138">
        <v>3</v>
      </c>
      <c r="BK197" s="1138">
        <v>0</v>
      </c>
      <c r="BL197" s="1138">
        <v>3</v>
      </c>
      <c r="BM197" s="1138">
        <v>3</v>
      </c>
      <c r="BN197" s="1138">
        <v>2</v>
      </c>
      <c r="BO197" s="1138">
        <v>3</v>
      </c>
      <c r="BP197" s="1138">
        <v>2</v>
      </c>
      <c r="BQ197" s="1138">
        <v>2</v>
      </c>
      <c r="BR197" s="1138">
        <v>2</v>
      </c>
      <c r="BS197" s="1138">
        <v>2</v>
      </c>
      <c r="BT197" s="1138">
        <v>1</v>
      </c>
      <c r="BU197" s="1138">
        <v>2</v>
      </c>
      <c r="BV197" s="1138">
        <v>3</v>
      </c>
      <c r="BW197" s="1138">
        <v>2</v>
      </c>
      <c r="BX197" s="1138">
        <v>2</v>
      </c>
      <c r="BY197" s="1138">
        <v>2</v>
      </c>
      <c r="BZ197" s="1138">
        <v>2</v>
      </c>
      <c r="CA197" s="1138">
        <v>3</v>
      </c>
      <c r="CB197" s="1138">
        <v>2</v>
      </c>
    </row>
    <row r="198" spans="1:80" x14ac:dyDescent="0.3">
      <c r="B198" s="1002">
        <v>548</v>
      </c>
      <c r="C198" s="269" t="s">
        <v>540</v>
      </c>
      <c r="D198" s="269" t="s">
        <v>570</v>
      </c>
      <c r="E198" s="1138">
        <v>0</v>
      </c>
      <c r="F198" s="1138">
        <v>0</v>
      </c>
      <c r="G198" s="1138">
        <v>0</v>
      </c>
      <c r="H198" s="1138">
        <v>0</v>
      </c>
      <c r="I198" s="1138">
        <v>0</v>
      </c>
      <c r="J198" s="1138">
        <v>0</v>
      </c>
      <c r="K198" s="1138">
        <v>0</v>
      </c>
      <c r="L198" s="1138">
        <v>0</v>
      </c>
      <c r="M198" s="1138">
        <v>0</v>
      </c>
      <c r="N198" s="1138">
        <v>0</v>
      </c>
      <c r="O198" s="1138">
        <v>0</v>
      </c>
      <c r="P198" s="1138">
        <v>0</v>
      </c>
      <c r="Q198" s="1138">
        <v>0</v>
      </c>
      <c r="R198" s="1138">
        <v>0</v>
      </c>
      <c r="S198" s="1138">
        <v>0</v>
      </c>
      <c r="T198" s="1138">
        <v>0</v>
      </c>
      <c r="U198" s="1138">
        <v>0</v>
      </c>
      <c r="V198" s="1138">
        <v>0</v>
      </c>
      <c r="W198" s="1138">
        <v>0</v>
      </c>
      <c r="X198" s="1138">
        <v>0</v>
      </c>
      <c r="Y198" s="1138">
        <v>0</v>
      </c>
      <c r="Z198" s="1138">
        <v>0</v>
      </c>
      <c r="AA198" s="1138">
        <v>0</v>
      </c>
      <c r="AB198" s="1138">
        <v>0</v>
      </c>
      <c r="AC198" s="1138">
        <v>0</v>
      </c>
      <c r="AD198" s="1138">
        <v>0</v>
      </c>
      <c r="AE198" s="1138">
        <v>0</v>
      </c>
      <c r="AF198" s="1138">
        <v>0</v>
      </c>
      <c r="AG198" s="1138">
        <v>0</v>
      </c>
      <c r="AH198" s="1138">
        <v>0</v>
      </c>
      <c r="AI198" s="1138">
        <v>0</v>
      </c>
      <c r="AJ198" s="1138">
        <v>0</v>
      </c>
      <c r="AK198" s="1138">
        <v>0</v>
      </c>
      <c r="AL198" s="1138">
        <v>0</v>
      </c>
      <c r="AM198" s="1138">
        <v>0</v>
      </c>
      <c r="AN198" s="1138">
        <v>0</v>
      </c>
      <c r="AO198" s="1138">
        <v>0</v>
      </c>
      <c r="AP198" s="1138">
        <v>0</v>
      </c>
      <c r="AQ198" s="1138">
        <v>0</v>
      </c>
      <c r="AR198" s="1138">
        <v>0</v>
      </c>
      <c r="AS198" s="1138">
        <v>0</v>
      </c>
      <c r="AT198" s="1138">
        <v>0</v>
      </c>
      <c r="AU198" s="1138">
        <v>0</v>
      </c>
      <c r="AV198" s="1138">
        <v>0</v>
      </c>
      <c r="AW198" s="1138">
        <v>0</v>
      </c>
      <c r="AX198" s="1138">
        <v>0</v>
      </c>
      <c r="AY198" s="1138">
        <v>0</v>
      </c>
      <c r="AZ198" s="1138">
        <v>0</v>
      </c>
      <c r="BA198" s="1138">
        <v>0</v>
      </c>
      <c r="BB198" s="1138">
        <v>0</v>
      </c>
      <c r="BC198" s="1138">
        <v>0</v>
      </c>
      <c r="BD198" s="1138">
        <v>0</v>
      </c>
      <c r="BE198" s="1138">
        <v>0</v>
      </c>
      <c r="BF198" s="1138">
        <v>0</v>
      </c>
      <c r="BG198" s="1138">
        <v>0</v>
      </c>
      <c r="BH198" s="1138">
        <v>0</v>
      </c>
      <c r="BI198" s="1138">
        <v>0</v>
      </c>
      <c r="BJ198" s="1138">
        <v>0</v>
      </c>
      <c r="BK198" s="1138">
        <v>0</v>
      </c>
      <c r="BL198" s="1138">
        <v>0</v>
      </c>
      <c r="BM198" s="1138">
        <v>0</v>
      </c>
      <c r="BN198" s="1138">
        <v>0</v>
      </c>
      <c r="BO198" s="1138">
        <v>0</v>
      </c>
      <c r="BP198" s="1138">
        <v>0</v>
      </c>
      <c r="BQ198" s="1138">
        <v>0</v>
      </c>
      <c r="BR198" s="1138">
        <v>0</v>
      </c>
      <c r="BS198" s="1138">
        <v>0</v>
      </c>
      <c r="BT198" s="1138">
        <v>0</v>
      </c>
      <c r="BU198" s="1138">
        <v>0</v>
      </c>
      <c r="BV198" s="1138">
        <v>0</v>
      </c>
      <c r="BW198" s="1138">
        <v>0</v>
      </c>
      <c r="BX198" s="1138">
        <v>0</v>
      </c>
      <c r="BY198" s="1138">
        <v>0</v>
      </c>
      <c r="BZ198" s="1138">
        <v>0</v>
      </c>
      <c r="CA198" s="1138">
        <v>0</v>
      </c>
      <c r="CB198" s="1138">
        <v>0</v>
      </c>
    </row>
    <row r="199" spans="1:80" x14ac:dyDescent="0.3">
      <c r="B199" s="1002">
        <v>549</v>
      </c>
      <c r="C199" s="269" t="s">
        <v>928</v>
      </c>
      <c r="D199" s="269" t="s">
        <v>571</v>
      </c>
      <c r="E199" s="1138">
        <v>0</v>
      </c>
      <c r="F199" s="1138">
        <v>0</v>
      </c>
      <c r="G199" s="1138">
        <v>0</v>
      </c>
      <c r="H199" s="1138">
        <v>0</v>
      </c>
      <c r="I199" s="1138">
        <v>0</v>
      </c>
      <c r="J199" s="1138">
        <v>0</v>
      </c>
      <c r="K199" s="1138">
        <v>0</v>
      </c>
      <c r="L199" s="1138">
        <v>0</v>
      </c>
      <c r="M199" s="1138">
        <v>0</v>
      </c>
      <c r="N199" s="1138">
        <v>0</v>
      </c>
      <c r="O199" s="1138">
        <v>0</v>
      </c>
      <c r="P199" s="1138">
        <v>0</v>
      </c>
      <c r="Q199" s="1138">
        <v>0</v>
      </c>
      <c r="R199" s="1138">
        <v>0</v>
      </c>
      <c r="S199" s="1138">
        <v>0</v>
      </c>
      <c r="T199" s="1138">
        <v>0</v>
      </c>
      <c r="U199" s="1138">
        <v>0</v>
      </c>
      <c r="V199" s="1138">
        <v>0</v>
      </c>
      <c r="W199" s="1138">
        <v>0</v>
      </c>
      <c r="X199" s="1138">
        <v>0</v>
      </c>
      <c r="Y199" s="1138">
        <v>0</v>
      </c>
      <c r="Z199" s="1138">
        <v>0</v>
      </c>
      <c r="AA199" s="1138">
        <v>0</v>
      </c>
      <c r="AB199" s="1138">
        <v>0</v>
      </c>
      <c r="AC199" s="1138">
        <v>0</v>
      </c>
      <c r="AD199" s="1138">
        <v>0</v>
      </c>
      <c r="AE199" s="1138">
        <v>0</v>
      </c>
      <c r="AF199" s="1138">
        <v>0</v>
      </c>
      <c r="AG199" s="1138">
        <v>0</v>
      </c>
      <c r="AH199" s="1138">
        <v>0</v>
      </c>
      <c r="AI199" s="1138">
        <v>0</v>
      </c>
      <c r="AJ199" s="1138">
        <v>0</v>
      </c>
      <c r="AK199" s="1138">
        <v>0</v>
      </c>
      <c r="AL199" s="1138">
        <v>0</v>
      </c>
      <c r="AM199" s="1138">
        <v>0</v>
      </c>
      <c r="AN199" s="1138">
        <v>0</v>
      </c>
      <c r="AO199" s="1138">
        <v>0</v>
      </c>
      <c r="AP199" s="1138">
        <v>0</v>
      </c>
      <c r="AQ199" s="1138">
        <v>0</v>
      </c>
      <c r="AR199" s="1138">
        <v>0</v>
      </c>
      <c r="AS199" s="1138">
        <v>0</v>
      </c>
      <c r="AT199" s="1138">
        <v>0</v>
      </c>
      <c r="AU199" s="1138">
        <v>0</v>
      </c>
      <c r="AV199" s="1138">
        <v>0</v>
      </c>
      <c r="AW199" s="1138">
        <v>0</v>
      </c>
      <c r="AX199" s="1138">
        <v>0</v>
      </c>
      <c r="AY199" s="1138">
        <v>0</v>
      </c>
      <c r="AZ199" s="1138">
        <v>0</v>
      </c>
      <c r="BA199" s="1138">
        <v>0</v>
      </c>
      <c r="BB199" s="1138">
        <v>0</v>
      </c>
      <c r="BC199" s="1138">
        <v>0</v>
      </c>
      <c r="BD199" s="1138">
        <v>0</v>
      </c>
      <c r="BE199" s="1138">
        <v>0</v>
      </c>
      <c r="BF199" s="1138">
        <v>0</v>
      </c>
      <c r="BG199" s="1138">
        <v>0</v>
      </c>
      <c r="BH199" s="1138">
        <v>0</v>
      </c>
      <c r="BI199" s="1138">
        <v>0</v>
      </c>
      <c r="BJ199" s="1138">
        <v>0</v>
      </c>
      <c r="BK199" s="1138">
        <v>0</v>
      </c>
      <c r="BL199" s="1138">
        <v>0</v>
      </c>
      <c r="BM199" s="1138">
        <v>0</v>
      </c>
      <c r="BN199" s="1138">
        <v>0</v>
      </c>
      <c r="BO199" s="1138">
        <v>0</v>
      </c>
      <c r="BP199" s="1138">
        <v>0</v>
      </c>
      <c r="BQ199" s="1138">
        <v>0</v>
      </c>
      <c r="BR199" s="1138">
        <v>0</v>
      </c>
      <c r="BS199" s="1138">
        <v>0</v>
      </c>
      <c r="BT199" s="1138">
        <v>0</v>
      </c>
      <c r="BU199" s="1138">
        <v>0</v>
      </c>
      <c r="BV199" s="1138">
        <v>0</v>
      </c>
      <c r="BW199" s="1138">
        <v>0</v>
      </c>
      <c r="BX199" s="1138">
        <v>0</v>
      </c>
      <c r="BY199" s="1138">
        <v>0</v>
      </c>
      <c r="BZ199" s="1138">
        <v>0</v>
      </c>
      <c r="CA199" s="1138">
        <v>0</v>
      </c>
      <c r="CB199" s="1138">
        <v>0</v>
      </c>
    </row>
    <row r="200" spans="1:80" x14ac:dyDescent="0.3">
      <c r="B200" s="1002">
        <v>550</v>
      </c>
      <c r="C200" s="269" t="s">
        <v>572</v>
      </c>
      <c r="D200" s="269" t="s">
        <v>573</v>
      </c>
      <c r="E200" s="1138">
        <v>0</v>
      </c>
      <c r="F200" s="1138">
        <v>0</v>
      </c>
      <c r="G200" s="1138">
        <v>0</v>
      </c>
      <c r="H200" s="1138">
        <v>0</v>
      </c>
      <c r="I200" s="1138">
        <v>0</v>
      </c>
      <c r="J200" s="1138">
        <v>0</v>
      </c>
      <c r="K200" s="1138">
        <v>0</v>
      </c>
      <c r="L200" s="1138">
        <v>0</v>
      </c>
      <c r="M200" s="1138">
        <v>0</v>
      </c>
      <c r="N200" s="1138">
        <v>0</v>
      </c>
      <c r="O200" s="1138">
        <v>0</v>
      </c>
      <c r="P200" s="1138">
        <v>0</v>
      </c>
      <c r="Q200" s="1138">
        <v>0</v>
      </c>
      <c r="R200" s="1138">
        <v>0</v>
      </c>
      <c r="S200" s="1138">
        <v>0</v>
      </c>
      <c r="T200" s="1138">
        <v>0</v>
      </c>
      <c r="U200" s="1138">
        <v>0</v>
      </c>
      <c r="V200" s="1138">
        <v>0</v>
      </c>
      <c r="W200" s="1138">
        <v>0</v>
      </c>
      <c r="X200" s="1138">
        <v>0</v>
      </c>
      <c r="Y200" s="1138">
        <v>0</v>
      </c>
      <c r="Z200" s="1138">
        <v>0</v>
      </c>
      <c r="AA200" s="1138">
        <v>0</v>
      </c>
      <c r="AB200" s="1138">
        <v>0</v>
      </c>
      <c r="AC200" s="1138">
        <v>0</v>
      </c>
      <c r="AD200" s="1138">
        <v>0</v>
      </c>
      <c r="AE200" s="1138">
        <v>0</v>
      </c>
      <c r="AF200" s="1138">
        <v>0</v>
      </c>
      <c r="AG200" s="1138">
        <v>0</v>
      </c>
      <c r="AH200" s="1138">
        <v>0</v>
      </c>
      <c r="AI200" s="1138">
        <v>0</v>
      </c>
      <c r="AJ200" s="1138">
        <v>0</v>
      </c>
      <c r="AK200" s="1138">
        <v>0</v>
      </c>
      <c r="AL200" s="1138">
        <v>0</v>
      </c>
      <c r="AM200" s="1138">
        <v>0</v>
      </c>
      <c r="AN200" s="1138">
        <v>0</v>
      </c>
      <c r="AO200" s="1138">
        <v>0</v>
      </c>
      <c r="AP200" s="1138">
        <v>0</v>
      </c>
      <c r="AQ200" s="1138">
        <v>0</v>
      </c>
      <c r="AR200" s="1138">
        <v>0</v>
      </c>
      <c r="AS200" s="1138">
        <v>0</v>
      </c>
      <c r="AT200" s="1138">
        <v>0</v>
      </c>
      <c r="AU200" s="1138">
        <v>0</v>
      </c>
      <c r="AV200" s="1138">
        <v>0</v>
      </c>
      <c r="AW200" s="1138">
        <v>0</v>
      </c>
      <c r="AX200" s="1138">
        <v>0</v>
      </c>
      <c r="AY200" s="1138">
        <v>0</v>
      </c>
      <c r="AZ200" s="1138">
        <v>0</v>
      </c>
      <c r="BA200" s="1138">
        <v>0</v>
      </c>
      <c r="BB200" s="1138">
        <v>0</v>
      </c>
      <c r="BC200" s="1138">
        <v>0</v>
      </c>
      <c r="BD200" s="1138">
        <v>0</v>
      </c>
      <c r="BE200" s="1138">
        <v>0</v>
      </c>
      <c r="BF200" s="1138">
        <v>0</v>
      </c>
      <c r="BG200" s="1138">
        <v>0</v>
      </c>
      <c r="BH200" s="1138">
        <v>0</v>
      </c>
      <c r="BI200" s="1138">
        <v>0</v>
      </c>
      <c r="BJ200" s="1138">
        <v>0</v>
      </c>
      <c r="BK200" s="1138">
        <v>0</v>
      </c>
      <c r="BL200" s="1138">
        <v>0</v>
      </c>
      <c r="BM200" s="1138">
        <v>0</v>
      </c>
      <c r="BN200" s="1138">
        <v>0</v>
      </c>
      <c r="BO200" s="1138">
        <v>0</v>
      </c>
      <c r="BP200" s="1138">
        <v>0</v>
      </c>
      <c r="BQ200" s="1138">
        <v>0</v>
      </c>
      <c r="BR200" s="1138">
        <v>0</v>
      </c>
      <c r="BS200" s="1138">
        <v>0</v>
      </c>
      <c r="BT200" s="1138">
        <v>0</v>
      </c>
      <c r="BU200" s="1138">
        <v>0</v>
      </c>
      <c r="BV200" s="1138">
        <v>0</v>
      </c>
      <c r="BW200" s="1138">
        <v>0</v>
      </c>
      <c r="BX200" s="1138">
        <v>0</v>
      </c>
      <c r="BY200" s="1138">
        <v>0</v>
      </c>
      <c r="BZ200" s="1138">
        <v>0</v>
      </c>
      <c r="CA200" s="1138">
        <v>0</v>
      </c>
      <c r="CB200" s="1138">
        <v>0</v>
      </c>
    </row>
    <row r="201" spans="1:80" x14ac:dyDescent="0.3">
      <c r="B201" s="1002">
        <v>551</v>
      </c>
      <c r="C201" s="269" t="s">
        <v>929</v>
      </c>
      <c r="D201" s="269" t="s">
        <v>574</v>
      </c>
      <c r="E201" s="1138">
        <v>0</v>
      </c>
      <c r="F201" s="1138">
        <v>0</v>
      </c>
      <c r="G201" s="1138">
        <v>0</v>
      </c>
      <c r="H201" s="1138">
        <v>0</v>
      </c>
      <c r="I201" s="1138">
        <v>0</v>
      </c>
      <c r="J201" s="1138">
        <v>0</v>
      </c>
      <c r="K201" s="1138">
        <v>0</v>
      </c>
      <c r="L201" s="1138">
        <v>0</v>
      </c>
      <c r="M201" s="1138">
        <v>0</v>
      </c>
      <c r="N201" s="1138">
        <v>0</v>
      </c>
      <c r="O201" s="1138">
        <v>0</v>
      </c>
      <c r="P201" s="1138">
        <v>0</v>
      </c>
      <c r="Q201" s="1138">
        <v>0</v>
      </c>
      <c r="R201" s="1138">
        <v>0</v>
      </c>
      <c r="S201" s="1138">
        <v>0</v>
      </c>
      <c r="T201" s="1138">
        <v>0</v>
      </c>
      <c r="U201" s="1138">
        <v>0</v>
      </c>
      <c r="V201" s="1138">
        <v>0</v>
      </c>
      <c r="W201" s="1138">
        <v>0</v>
      </c>
      <c r="X201" s="1138">
        <v>0</v>
      </c>
      <c r="Y201" s="1138">
        <v>0</v>
      </c>
      <c r="Z201" s="1138">
        <v>0</v>
      </c>
      <c r="AA201" s="1138">
        <v>0</v>
      </c>
      <c r="AB201" s="1138">
        <v>0</v>
      </c>
      <c r="AC201" s="1138">
        <v>0</v>
      </c>
      <c r="AD201" s="1138">
        <v>0</v>
      </c>
      <c r="AE201" s="1138">
        <v>0</v>
      </c>
      <c r="AF201" s="1138">
        <v>0</v>
      </c>
      <c r="AG201" s="1138">
        <v>0</v>
      </c>
      <c r="AH201" s="1138">
        <v>0</v>
      </c>
      <c r="AI201" s="1138">
        <v>0</v>
      </c>
      <c r="AJ201" s="1138">
        <v>0</v>
      </c>
      <c r="AK201" s="1138">
        <v>0</v>
      </c>
      <c r="AL201" s="1138">
        <v>0</v>
      </c>
      <c r="AM201" s="1138">
        <v>0</v>
      </c>
      <c r="AN201" s="1138">
        <v>0</v>
      </c>
      <c r="AO201" s="1138">
        <v>0</v>
      </c>
      <c r="AP201" s="1138">
        <v>0</v>
      </c>
      <c r="AQ201" s="1138">
        <v>0</v>
      </c>
      <c r="AR201" s="1138">
        <v>0</v>
      </c>
      <c r="AS201" s="1138">
        <v>0</v>
      </c>
      <c r="AT201" s="1138">
        <v>0</v>
      </c>
      <c r="AU201" s="1138">
        <v>0</v>
      </c>
      <c r="AV201" s="1138">
        <v>0</v>
      </c>
      <c r="AW201" s="1138">
        <v>0</v>
      </c>
      <c r="AX201" s="1138">
        <v>0</v>
      </c>
      <c r="AY201" s="1138">
        <v>0</v>
      </c>
      <c r="AZ201" s="1138">
        <v>0</v>
      </c>
      <c r="BA201" s="1138">
        <v>0</v>
      </c>
      <c r="BB201" s="1138">
        <v>0</v>
      </c>
      <c r="BC201" s="1138">
        <v>0</v>
      </c>
      <c r="BD201" s="1138">
        <v>0</v>
      </c>
      <c r="BE201" s="1138">
        <v>0</v>
      </c>
      <c r="BF201" s="1138">
        <v>0</v>
      </c>
      <c r="BG201" s="1138">
        <v>0</v>
      </c>
      <c r="BH201" s="1138">
        <v>0</v>
      </c>
      <c r="BI201" s="1138">
        <v>0</v>
      </c>
      <c r="BJ201" s="1138">
        <v>0</v>
      </c>
      <c r="BK201" s="1138">
        <v>0</v>
      </c>
      <c r="BL201" s="1138">
        <v>0</v>
      </c>
      <c r="BM201" s="1138">
        <v>0</v>
      </c>
      <c r="BN201" s="1138">
        <v>0</v>
      </c>
      <c r="BO201" s="1138">
        <v>0</v>
      </c>
      <c r="BP201" s="1138">
        <v>0</v>
      </c>
      <c r="BQ201" s="1138">
        <v>0</v>
      </c>
      <c r="BR201" s="1138">
        <v>0</v>
      </c>
      <c r="BS201" s="1138">
        <v>0</v>
      </c>
      <c r="BT201" s="1138">
        <v>0</v>
      </c>
      <c r="BU201" s="1138">
        <v>0</v>
      </c>
      <c r="BV201" s="1138">
        <v>0</v>
      </c>
      <c r="BW201" s="1138">
        <v>0</v>
      </c>
      <c r="BX201" s="1138">
        <v>0</v>
      </c>
      <c r="BY201" s="1138">
        <v>0</v>
      </c>
      <c r="BZ201" s="1138">
        <v>0</v>
      </c>
      <c r="CA201" s="1138">
        <v>0</v>
      </c>
      <c r="CB201" s="1138">
        <v>0</v>
      </c>
    </row>
    <row r="202" spans="1:80" x14ac:dyDescent="0.3">
      <c r="B202" s="1002">
        <v>552</v>
      </c>
      <c r="C202" s="269" t="s">
        <v>542</v>
      </c>
      <c r="D202" s="269" t="s">
        <v>575</v>
      </c>
      <c r="E202" s="1138">
        <v>0</v>
      </c>
      <c r="F202" s="1138">
        <v>0</v>
      </c>
      <c r="G202" s="1138">
        <v>0</v>
      </c>
      <c r="H202" s="1138">
        <v>0</v>
      </c>
      <c r="I202" s="1138">
        <v>0</v>
      </c>
      <c r="J202" s="1138">
        <v>0</v>
      </c>
      <c r="K202" s="1138">
        <v>0</v>
      </c>
      <c r="L202" s="1138">
        <v>0</v>
      </c>
      <c r="M202" s="1138">
        <v>0</v>
      </c>
      <c r="N202" s="1138">
        <v>0</v>
      </c>
      <c r="O202" s="1138">
        <v>0</v>
      </c>
      <c r="P202" s="1138">
        <v>0</v>
      </c>
      <c r="Q202" s="1138">
        <v>0</v>
      </c>
      <c r="R202" s="1138">
        <v>0</v>
      </c>
      <c r="S202" s="1138">
        <v>0</v>
      </c>
      <c r="T202" s="1138">
        <v>0</v>
      </c>
      <c r="U202" s="1138">
        <v>0</v>
      </c>
      <c r="V202" s="1138">
        <v>0</v>
      </c>
      <c r="W202" s="1138">
        <v>0</v>
      </c>
      <c r="X202" s="1138">
        <v>0</v>
      </c>
      <c r="Y202" s="1138">
        <v>0</v>
      </c>
      <c r="Z202" s="1138">
        <v>0</v>
      </c>
      <c r="AA202" s="1138">
        <v>0</v>
      </c>
      <c r="AB202" s="1138">
        <v>0</v>
      </c>
      <c r="AC202" s="1138">
        <v>0</v>
      </c>
      <c r="AD202" s="1138">
        <v>0</v>
      </c>
      <c r="AE202" s="1138">
        <v>0</v>
      </c>
      <c r="AF202" s="1138">
        <v>0</v>
      </c>
      <c r="AG202" s="1138">
        <v>0</v>
      </c>
      <c r="AH202" s="1138">
        <v>0</v>
      </c>
      <c r="AI202" s="1138">
        <v>0</v>
      </c>
      <c r="AJ202" s="1138">
        <v>0</v>
      </c>
      <c r="AK202" s="1138">
        <v>0</v>
      </c>
      <c r="AL202" s="1138">
        <v>0</v>
      </c>
      <c r="AM202" s="1138">
        <v>0</v>
      </c>
      <c r="AN202" s="1138">
        <v>0</v>
      </c>
      <c r="AO202" s="1138">
        <v>0</v>
      </c>
      <c r="AP202" s="1138">
        <v>0</v>
      </c>
      <c r="AQ202" s="1138">
        <v>0</v>
      </c>
      <c r="AR202" s="1138">
        <v>0</v>
      </c>
      <c r="AS202" s="1138">
        <v>0</v>
      </c>
      <c r="AT202" s="1138">
        <v>0</v>
      </c>
      <c r="AU202" s="1138">
        <v>0</v>
      </c>
      <c r="AV202" s="1138">
        <v>0</v>
      </c>
      <c r="AW202" s="1138">
        <v>0</v>
      </c>
      <c r="AX202" s="1138">
        <v>0</v>
      </c>
      <c r="AY202" s="1138">
        <v>0</v>
      </c>
      <c r="AZ202" s="1138">
        <v>0</v>
      </c>
      <c r="BA202" s="1138">
        <v>0</v>
      </c>
      <c r="BB202" s="1138">
        <v>0</v>
      </c>
      <c r="BC202" s="1138">
        <v>0</v>
      </c>
      <c r="BD202" s="1138">
        <v>0</v>
      </c>
      <c r="BE202" s="1138">
        <v>0</v>
      </c>
      <c r="BF202" s="1138">
        <v>0</v>
      </c>
      <c r="BG202" s="1138">
        <v>0</v>
      </c>
      <c r="BH202" s="1138">
        <v>0</v>
      </c>
      <c r="BI202" s="1138">
        <v>0</v>
      </c>
      <c r="BJ202" s="1138">
        <v>0</v>
      </c>
      <c r="BK202" s="1138">
        <v>0</v>
      </c>
      <c r="BL202" s="1138">
        <v>0</v>
      </c>
      <c r="BM202" s="1138">
        <v>0</v>
      </c>
      <c r="BN202" s="1138">
        <v>0</v>
      </c>
      <c r="BO202" s="1138">
        <v>0</v>
      </c>
      <c r="BP202" s="1138">
        <v>0</v>
      </c>
      <c r="BQ202" s="1138">
        <v>0</v>
      </c>
      <c r="BR202" s="1138">
        <v>0</v>
      </c>
      <c r="BS202" s="1138">
        <v>0</v>
      </c>
      <c r="BT202" s="1138">
        <v>0</v>
      </c>
      <c r="BU202" s="1138">
        <v>0</v>
      </c>
      <c r="BV202" s="1138">
        <v>0</v>
      </c>
      <c r="BW202" s="1138">
        <v>0</v>
      </c>
      <c r="BX202" s="1138">
        <v>0</v>
      </c>
      <c r="BY202" s="1138">
        <v>0</v>
      </c>
      <c r="BZ202" s="1138">
        <v>0</v>
      </c>
      <c r="CA202" s="1138">
        <v>0</v>
      </c>
      <c r="CB202" s="1138">
        <v>0</v>
      </c>
    </row>
    <row r="203" spans="1:80" x14ac:dyDescent="0.3">
      <c r="B203" s="1002">
        <v>553</v>
      </c>
      <c r="C203" s="269" t="s">
        <v>576</v>
      </c>
      <c r="D203" s="269" t="s">
        <v>577</v>
      </c>
      <c r="E203" s="1138"/>
      <c r="F203" s="1138"/>
      <c r="G203" s="1138"/>
      <c r="H203" s="1138"/>
      <c r="I203" s="1138"/>
      <c r="J203" s="1138"/>
      <c r="K203" s="1138"/>
      <c r="L203" s="1138"/>
      <c r="M203" s="1138"/>
      <c r="N203" s="1138"/>
      <c r="O203" s="1138"/>
      <c r="P203" s="1138"/>
      <c r="Q203" s="1138"/>
      <c r="R203" s="1138"/>
      <c r="S203" s="1138"/>
      <c r="T203" s="1138"/>
      <c r="U203" s="1138"/>
      <c r="V203" s="1138"/>
      <c r="W203" s="1138"/>
      <c r="X203" s="1138"/>
      <c r="Y203" s="1138"/>
      <c r="Z203" s="1138"/>
      <c r="AA203" s="1138"/>
      <c r="AB203" s="1138"/>
      <c r="AC203" s="1138"/>
      <c r="AD203" s="1138"/>
      <c r="AE203" s="1138"/>
      <c r="AF203" s="1138"/>
      <c r="AG203" s="1138"/>
      <c r="AH203" s="1138"/>
      <c r="AI203" s="1138"/>
      <c r="AJ203" s="1138"/>
      <c r="AK203" s="1138"/>
      <c r="AL203" s="1138"/>
      <c r="AM203" s="1138"/>
      <c r="AN203" s="1138"/>
      <c r="AO203" s="1138"/>
      <c r="AP203" s="1138"/>
      <c r="AQ203" s="1138"/>
      <c r="AR203" s="1138"/>
      <c r="AS203" s="1138"/>
      <c r="AT203" s="1138"/>
      <c r="AU203" s="1138"/>
      <c r="AV203" s="1138"/>
      <c r="AW203" s="1138"/>
      <c r="AX203" s="1138"/>
      <c r="AY203" s="1138"/>
      <c r="AZ203" s="1138"/>
      <c r="BA203" s="1138"/>
      <c r="BB203" s="1138"/>
      <c r="BC203" s="1138"/>
      <c r="BD203" s="1138"/>
      <c r="BE203" s="1138"/>
      <c r="BF203" s="1138"/>
      <c r="BG203" s="1138"/>
      <c r="BH203" s="1138"/>
      <c r="BI203" s="1138"/>
      <c r="BJ203" s="1138"/>
      <c r="BK203" s="1138"/>
      <c r="BL203" s="1138"/>
      <c r="BM203" s="1138"/>
      <c r="BN203" s="1138"/>
      <c r="BO203" s="1138"/>
      <c r="BP203" s="1138"/>
      <c r="BQ203" s="1138"/>
      <c r="BR203" s="1138"/>
      <c r="BS203" s="1138"/>
      <c r="BT203" s="1138"/>
      <c r="BU203" s="1138"/>
      <c r="BV203" s="1138"/>
      <c r="BW203" s="1138"/>
      <c r="BX203" s="1138"/>
      <c r="BY203" s="1138"/>
      <c r="BZ203" s="1138"/>
      <c r="CA203" s="1138"/>
      <c r="CB203" s="1138"/>
    </row>
    <row r="204" spans="1:80" x14ac:dyDescent="0.3">
      <c r="A204" s="269">
        <v>554</v>
      </c>
      <c r="B204" s="1002">
        <v>554</v>
      </c>
      <c r="C204" s="269" t="s">
        <v>578</v>
      </c>
      <c r="D204" s="269" t="s">
        <v>579</v>
      </c>
      <c r="E204" s="1138">
        <v>5755210</v>
      </c>
      <c r="F204" s="1138">
        <v>0</v>
      </c>
      <c r="G204" s="1138">
        <v>0</v>
      </c>
      <c r="H204" s="1138">
        <v>8541056</v>
      </c>
      <c r="I204" s="1138">
        <v>0</v>
      </c>
      <c r="J204" s="1138">
        <v>0</v>
      </c>
      <c r="K204" s="1138">
        <v>0</v>
      </c>
      <c r="L204" s="1138">
        <v>100000</v>
      </c>
      <c r="M204" s="1138">
        <v>1337986</v>
      </c>
      <c r="N204" s="1138">
        <v>0</v>
      </c>
      <c r="O204" s="1138">
        <v>0</v>
      </c>
      <c r="P204" s="1138">
        <v>0</v>
      </c>
      <c r="Q204" s="1138">
        <v>0</v>
      </c>
      <c r="R204" s="1138">
        <v>0</v>
      </c>
      <c r="S204" s="1138">
        <v>0</v>
      </c>
      <c r="T204" s="1138">
        <v>585334</v>
      </c>
      <c r="U204" s="1138">
        <v>0</v>
      </c>
      <c r="V204" s="1138">
        <v>6475153</v>
      </c>
      <c r="W204" s="1138">
        <v>0</v>
      </c>
      <c r="X204" s="1138">
        <v>0</v>
      </c>
      <c r="Y204" s="1138">
        <v>0</v>
      </c>
      <c r="Z204" s="1138">
        <v>0</v>
      </c>
      <c r="AA204" s="1138">
        <v>0</v>
      </c>
      <c r="AB204" s="1138">
        <v>0</v>
      </c>
      <c r="AC204" s="1138">
        <v>0</v>
      </c>
      <c r="AD204" s="1138">
        <v>0</v>
      </c>
      <c r="AE204" s="1138">
        <v>0</v>
      </c>
      <c r="AF204" s="1138">
        <v>0</v>
      </c>
      <c r="AG204" s="1138">
        <v>0</v>
      </c>
      <c r="AH204" s="1138">
        <v>0</v>
      </c>
      <c r="AI204" s="1138">
        <v>0</v>
      </c>
      <c r="AJ204" s="1138">
        <v>0</v>
      </c>
      <c r="AK204" s="1138">
        <v>1212555</v>
      </c>
      <c r="AL204" s="1138">
        <v>0</v>
      </c>
      <c r="AM204" s="1138">
        <v>0</v>
      </c>
      <c r="AN204" s="1138">
        <v>1957507</v>
      </c>
      <c r="AO204" s="1138">
        <v>2084224</v>
      </c>
      <c r="AP204" s="1138">
        <v>0</v>
      </c>
      <c r="AQ204" s="1138">
        <v>0</v>
      </c>
      <c r="AR204" s="1138">
        <v>497358</v>
      </c>
      <c r="AS204" s="1138">
        <v>0</v>
      </c>
      <c r="AT204" s="1138">
        <v>0</v>
      </c>
      <c r="AU204" s="1138">
        <v>0</v>
      </c>
      <c r="AV204" s="1138">
        <v>136456</v>
      </c>
      <c r="AW204" s="1138">
        <v>0</v>
      </c>
      <c r="AX204" s="1138">
        <v>0</v>
      </c>
      <c r="AY204" s="1138">
        <v>0</v>
      </c>
      <c r="AZ204" s="1138">
        <v>1233361</v>
      </c>
      <c r="BA204" s="1138">
        <v>0</v>
      </c>
      <c r="BB204" s="1138">
        <v>0</v>
      </c>
      <c r="BC204" s="1138">
        <v>0</v>
      </c>
      <c r="BD204" s="1138">
        <v>0</v>
      </c>
      <c r="BE204" s="1138">
        <v>0</v>
      </c>
      <c r="BF204" s="1138">
        <v>0</v>
      </c>
      <c r="BG204" s="1138">
        <v>0</v>
      </c>
      <c r="BH204" s="1138">
        <v>0</v>
      </c>
      <c r="BI204" s="1138">
        <v>0</v>
      </c>
      <c r="BJ204" s="1138">
        <v>0</v>
      </c>
      <c r="BK204" s="1138">
        <v>0</v>
      </c>
      <c r="BL204" s="1138">
        <v>0</v>
      </c>
      <c r="BM204" s="1138">
        <v>0</v>
      </c>
      <c r="BN204" s="1138">
        <v>0</v>
      </c>
      <c r="BO204" s="1138">
        <v>515018</v>
      </c>
      <c r="BP204" s="1138">
        <v>0</v>
      </c>
      <c r="BQ204" s="1138">
        <v>940469</v>
      </c>
      <c r="BR204" s="1138">
        <v>0</v>
      </c>
      <c r="BS204" s="1138">
        <v>0</v>
      </c>
      <c r="BT204" s="1138">
        <v>202704</v>
      </c>
      <c r="BU204" s="1138">
        <v>0</v>
      </c>
      <c r="BV204" s="1138">
        <v>0</v>
      </c>
      <c r="BW204" s="1138">
        <v>0</v>
      </c>
      <c r="BX204" s="1138">
        <v>0</v>
      </c>
      <c r="BY204" s="1138">
        <v>0</v>
      </c>
      <c r="BZ204" s="1138">
        <v>0</v>
      </c>
      <c r="CA204" s="1138">
        <v>0</v>
      </c>
      <c r="CB204" s="1138">
        <v>0</v>
      </c>
    </row>
    <row r="205" spans="1:80" x14ac:dyDescent="0.3">
      <c r="A205" s="269">
        <v>555</v>
      </c>
      <c r="B205" s="1002">
        <v>555</v>
      </c>
      <c r="C205" s="269" t="s">
        <v>580</v>
      </c>
      <c r="D205" s="269" t="s">
        <v>581</v>
      </c>
      <c r="E205" s="1138">
        <v>5613341</v>
      </c>
      <c r="F205" s="1138">
        <v>0</v>
      </c>
      <c r="G205" s="1138">
        <v>0</v>
      </c>
      <c r="H205" s="1138">
        <v>5614986</v>
      </c>
      <c r="I205" s="1138">
        <v>0</v>
      </c>
      <c r="J205" s="1138">
        <v>0</v>
      </c>
      <c r="K205" s="1138">
        <v>0</v>
      </c>
      <c r="L205" s="1138">
        <v>0</v>
      </c>
      <c r="M205" s="1138">
        <v>629254</v>
      </c>
      <c r="N205" s="1138">
        <v>0</v>
      </c>
      <c r="O205" s="1138">
        <v>0</v>
      </c>
      <c r="P205" s="1138">
        <v>0</v>
      </c>
      <c r="Q205" s="1138">
        <v>0</v>
      </c>
      <c r="R205" s="1138">
        <v>0</v>
      </c>
      <c r="S205" s="1138">
        <v>0</v>
      </c>
      <c r="T205" s="1138">
        <v>0</v>
      </c>
      <c r="U205" s="1138">
        <v>0</v>
      </c>
      <c r="V205" s="1138">
        <v>3253373</v>
      </c>
      <c r="W205" s="1138">
        <v>0</v>
      </c>
      <c r="X205" s="1138">
        <v>0</v>
      </c>
      <c r="Y205" s="1138">
        <v>0</v>
      </c>
      <c r="Z205" s="1138">
        <v>0</v>
      </c>
      <c r="AA205" s="1138">
        <v>0</v>
      </c>
      <c r="AB205" s="1138">
        <v>0</v>
      </c>
      <c r="AC205" s="1138">
        <v>0</v>
      </c>
      <c r="AD205" s="1138">
        <v>0</v>
      </c>
      <c r="AE205" s="1138">
        <v>0</v>
      </c>
      <c r="AF205" s="1138">
        <v>0</v>
      </c>
      <c r="AG205" s="1138">
        <v>0</v>
      </c>
      <c r="AH205" s="1138">
        <v>0</v>
      </c>
      <c r="AI205" s="1138">
        <v>0</v>
      </c>
      <c r="AJ205" s="1138">
        <v>0</v>
      </c>
      <c r="AK205" s="1138">
        <v>1075706</v>
      </c>
      <c r="AL205" s="1138">
        <v>0</v>
      </c>
      <c r="AM205" s="1138">
        <v>0</v>
      </c>
      <c r="AN205" s="1138">
        <v>1732147</v>
      </c>
      <c r="AO205" s="1138">
        <v>1750610</v>
      </c>
      <c r="AP205" s="1138">
        <v>0</v>
      </c>
      <c r="AQ205" s="1138">
        <v>0</v>
      </c>
      <c r="AR205" s="1138">
        <v>0</v>
      </c>
      <c r="AS205" s="1138">
        <v>0</v>
      </c>
      <c r="AT205" s="1138">
        <v>0</v>
      </c>
      <c r="AU205" s="1138">
        <v>0</v>
      </c>
      <c r="AV205" s="1138">
        <v>0</v>
      </c>
      <c r="AW205" s="1138">
        <v>0</v>
      </c>
      <c r="AX205" s="1138">
        <v>0</v>
      </c>
      <c r="AY205" s="1138">
        <v>0</v>
      </c>
      <c r="AZ205" s="1138">
        <v>1233361</v>
      </c>
      <c r="BA205" s="1138">
        <v>0</v>
      </c>
      <c r="BB205" s="1138">
        <v>0</v>
      </c>
      <c r="BC205" s="1138">
        <v>0</v>
      </c>
      <c r="BD205" s="1138">
        <v>0</v>
      </c>
      <c r="BE205" s="1138">
        <v>0</v>
      </c>
      <c r="BF205" s="1138">
        <v>0</v>
      </c>
      <c r="BG205" s="1138">
        <v>0</v>
      </c>
      <c r="BH205" s="1138">
        <v>0</v>
      </c>
      <c r="BI205" s="1138">
        <v>0</v>
      </c>
      <c r="BJ205" s="1138">
        <v>0</v>
      </c>
      <c r="BK205" s="1138">
        <v>0</v>
      </c>
      <c r="BL205" s="1138">
        <v>0</v>
      </c>
      <c r="BM205" s="1138">
        <v>0</v>
      </c>
      <c r="BN205" s="1138">
        <v>0</v>
      </c>
      <c r="BO205" s="1138">
        <v>0</v>
      </c>
      <c r="BP205" s="1138">
        <v>0</v>
      </c>
      <c r="BQ205" s="1138">
        <v>740474</v>
      </c>
      <c r="BR205" s="1138">
        <v>0</v>
      </c>
      <c r="BS205" s="1138">
        <v>0</v>
      </c>
      <c r="BT205" s="1138">
        <v>0</v>
      </c>
      <c r="BU205" s="1138">
        <v>0</v>
      </c>
      <c r="BV205" s="1138">
        <v>0</v>
      </c>
      <c r="BW205" s="1138">
        <v>0</v>
      </c>
      <c r="BX205" s="1138">
        <v>0</v>
      </c>
      <c r="BY205" s="1138">
        <v>0</v>
      </c>
      <c r="BZ205" s="1138">
        <v>0</v>
      </c>
      <c r="CA205" s="1138">
        <v>0</v>
      </c>
      <c r="CB205" s="1138">
        <v>0</v>
      </c>
    </row>
    <row r="206" spans="1:80" x14ac:dyDescent="0.3">
      <c r="A206" s="269">
        <v>556</v>
      </c>
      <c r="B206" s="1002">
        <v>556</v>
      </c>
      <c r="C206" s="269" t="s">
        <v>582</v>
      </c>
      <c r="D206" s="269" t="s">
        <v>583</v>
      </c>
      <c r="E206" s="1138">
        <v>1871114</v>
      </c>
      <c r="F206" s="1138">
        <v>1101704</v>
      </c>
      <c r="G206" s="1138">
        <v>0</v>
      </c>
      <c r="H206" s="1138">
        <v>4632295</v>
      </c>
      <c r="I206" s="1138">
        <v>0</v>
      </c>
      <c r="J206" s="1138">
        <v>0</v>
      </c>
      <c r="K206" s="1138">
        <v>0</v>
      </c>
      <c r="L206" s="1138">
        <v>556385</v>
      </c>
      <c r="M206" s="1138">
        <v>3192870</v>
      </c>
      <c r="N206" s="1138">
        <v>0</v>
      </c>
      <c r="O206" s="1138">
        <v>0</v>
      </c>
      <c r="P206" s="1138">
        <v>0</v>
      </c>
      <c r="Q206" s="1138">
        <v>1166252</v>
      </c>
      <c r="R206" s="1138">
        <v>0</v>
      </c>
      <c r="S206" s="1138">
        <v>0</v>
      </c>
      <c r="T206" s="1138">
        <v>816391</v>
      </c>
      <c r="U206" s="1138">
        <v>0</v>
      </c>
      <c r="V206" s="1138">
        <v>849732</v>
      </c>
      <c r="W206" s="1138">
        <v>0</v>
      </c>
      <c r="X206" s="1138">
        <v>0</v>
      </c>
      <c r="Y206" s="1138">
        <v>0</v>
      </c>
      <c r="Z206" s="1138">
        <v>0</v>
      </c>
      <c r="AA206" s="1138">
        <v>0</v>
      </c>
      <c r="AB206" s="1138">
        <v>0</v>
      </c>
      <c r="AC206" s="1138">
        <v>0</v>
      </c>
      <c r="AD206" s="1138">
        <v>0</v>
      </c>
      <c r="AE206" s="1138">
        <v>0</v>
      </c>
      <c r="AF206" s="1138">
        <v>0</v>
      </c>
      <c r="AG206" s="1138">
        <v>0</v>
      </c>
      <c r="AH206" s="1138">
        <v>0</v>
      </c>
      <c r="AI206" s="1138">
        <v>0</v>
      </c>
      <c r="AJ206" s="1138">
        <v>0</v>
      </c>
      <c r="AK206" s="1138">
        <v>1583908</v>
      </c>
      <c r="AL206" s="1138">
        <v>0</v>
      </c>
      <c r="AM206" s="1138">
        <v>0</v>
      </c>
      <c r="AN206" s="1138">
        <v>1284976</v>
      </c>
      <c r="AO206" s="1138">
        <v>904526</v>
      </c>
      <c r="AP206" s="1138">
        <v>0</v>
      </c>
      <c r="AQ206" s="1138">
        <v>0</v>
      </c>
      <c r="AR206" s="1138">
        <v>983818</v>
      </c>
      <c r="AS206" s="1138">
        <v>0</v>
      </c>
      <c r="AT206" s="1138">
        <v>0</v>
      </c>
      <c r="AU206" s="1138">
        <v>0</v>
      </c>
      <c r="AV206" s="1138">
        <v>1012947</v>
      </c>
      <c r="AW206" s="1138">
        <v>0</v>
      </c>
      <c r="AX206" s="1138">
        <v>0</v>
      </c>
      <c r="AY206" s="1138">
        <v>0</v>
      </c>
      <c r="AZ206" s="1138">
        <v>0</v>
      </c>
      <c r="BA206" s="1138">
        <v>0</v>
      </c>
      <c r="BB206" s="1138">
        <v>0</v>
      </c>
      <c r="BC206" s="1138">
        <v>0</v>
      </c>
      <c r="BD206" s="1138">
        <v>0</v>
      </c>
      <c r="BE206" s="1138">
        <v>0</v>
      </c>
      <c r="BF206" s="1138">
        <v>0</v>
      </c>
      <c r="BG206" s="1138">
        <v>0</v>
      </c>
      <c r="BH206" s="1138">
        <v>0</v>
      </c>
      <c r="BI206" s="1138">
        <v>0</v>
      </c>
      <c r="BJ206" s="1138">
        <v>0</v>
      </c>
      <c r="BK206" s="1138">
        <v>0</v>
      </c>
      <c r="BL206" s="1138">
        <v>0</v>
      </c>
      <c r="BM206" s="1138">
        <v>0</v>
      </c>
      <c r="BN206" s="1138">
        <v>0</v>
      </c>
      <c r="BO206" s="1138">
        <v>627146</v>
      </c>
      <c r="BP206" s="1138">
        <v>0</v>
      </c>
      <c r="BQ206" s="1138">
        <v>506368</v>
      </c>
      <c r="BR206" s="1138">
        <v>0</v>
      </c>
      <c r="BS206" s="1138">
        <v>0</v>
      </c>
      <c r="BT206" s="1138">
        <v>1220880</v>
      </c>
      <c r="BU206" s="1138">
        <v>0</v>
      </c>
      <c r="BV206" s="1138">
        <v>0</v>
      </c>
      <c r="BW206" s="1138">
        <v>0</v>
      </c>
      <c r="BX206" s="1138">
        <v>961308</v>
      </c>
      <c r="BY206" s="1138">
        <v>0</v>
      </c>
      <c r="BZ206" s="1138">
        <v>0</v>
      </c>
      <c r="CA206" s="1138">
        <v>750141</v>
      </c>
      <c r="CB206" s="1138">
        <v>0</v>
      </c>
    </row>
    <row r="207" spans="1:80" x14ac:dyDescent="0.3">
      <c r="A207" s="269">
        <v>557</v>
      </c>
      <c r="B207" s="1002">
        <v>557</v>
      </c>
      <c r="C207" s="269" t="s">
        <v>584</v>
      </c>
      <c r="D207" s="269" t="s">
        <v>585</v>
      </c>
      <c r="E207" s="1138">
        <v>1871114</v>
      </c>
      <c r="F207" s="1138">
        <v>1101704</v>
      </c>
      <c r="G207" s="1138">
        <v>0</v>
      </c>
      <c r="H207" s="1138">
        <v>2187697</v>
      </c>
      <c r="I207" s="1138">
        <v>0</v>
      </c>
      <c r="J207" s="1138">
        <v>0</v>
      </c>
      <c r="K207" s="1138">
        <v>0</v>
      </c>
      <c r="L207" s="1138">
        <v>450000</v>
      </c>
      <c r="M207" s="1138">
        <v>2394007</v>
      </c>
      <c r="N207" s="1138">
        <v>0</v>
      </c>
      <c r="O207" s="1138">
        <v>0</v>
      </c>
      <c r="P207" s="1138">
        <v>0</v>
      </c>
      <c r="Q207" s="1138">
        <v>649335</v>
      </c>
      <c r="R207" s="1138">
        <v>0</v>
      </c>
      <c r="S207" s="1138">
        <v>0</v>
      </c>
      <c r="T207" s="1138">
        <v>467234</v>
      </c>
      <c r="U207" s="1138">
        <v>0</v>
      </c>
      <c r="V207" s="1138">
        <v>602607</v>
      </c>
      <c r="W207" s="1138">
        <v>0</v>
      </c>
      <c r="X207" s="1138">
        <v>0</v>
      </c>
      <c r="Y207" s="1138">
        <v>0</v>
      </c>
      <c r="Z207" s="1138">
        <v>0</v>
      </c>
      <c r="AA207" s="1138">
        <v>0</v>
      </c>
      <c r="AB207" s="1138">
        <v>0</v>
      </c>
      <c r="AC207" s="1138">
        <v>0</v>
      </c>
      <c r="AD207" s="1138">
        <v>0</v>
      </c>
      <c r="AE207" s="1138">
        <v>0</v>
      </c>
      <c r="AF207" s="1138">
        <v>0</v>
      </c>
      <c r="AG207" s="1138">
        <v>0</v>
      </c>
      <c r="AH207" s="1138">
        <v>0</v>
      </c>
      <c r="AI207" s="1138">
        <v>0</v>
      </c>
      <c r="AJ207" s="1138">
        <v>0</v>
      </c>
      <c r="AK207" s="1138">
        <v>959013</v>
      </c>
      <c r="AL207" s="1138">
        <v>0</v>
      </c>
      <c r="AM207" s="1138">
        <v>0</v>
      </c>
      <c r="AN207" s="1138">
        <v>1260765</v>
      </c>
      <c r="AO207" s="1138">
        <v>553191</v>
      </c>
      <c r="AP207" s="1138">
        <v>0</v>
      </c>
      <c r="AQ207" s="1138">
        <v>0</v>
      </c>
      <c r="AR207" s="1138">
        <v>414358</v>
      </c>
      <c r="AS207" s="1138">
        <v>0</v>
      </c>
      <c r="AT207" s="1138">
        <v>0</v>
      </c>
      <c r="AU207" s="1138">
        <v>0</v>
      </c>
      <c r="AV207" s="1138">
        <v>554152</v>
      </c>
      <c r="AW207" s="1138">
        <v>0</v>
      </c>
      <c r="AX207" s="1138">
        <v>0</v>
      </c>
      <c r="AY207" s="1138">
        <v>0</v>
      </c>
      <c r="AZ207" s="1138">
        <v>0</v>
      </c>
      <c r="BA207" s="1138">
        <v>0</v>
      </c>
      <c r="BB207" s="1138">
        <v>0</v>
      </c>
      <c r="BC207" s="1138">
        <v>0</v>
      </c>
      <c r="BD207" s="1138">
        <v>0</v>
      </c>
      <c r="BE207" s="1138">
        <v>0</v>
      </c>
      <c r="BF207" s="1138">
        <v>0</v>
      </c>
      <c r="BG207" s="1138">
        <v>0</v>
      </c>
      <c r="BH207" s="1138">
        <v>0</v>
      </c>
      <c r="BI207" s="1138">
        <v>0</v>
      </c>
      <c r="BJ207" s="1138">
        <v>0</v>
      </c>
      <c r="BK207" s="1138">
        <v>0</v>
      </c>
      <c r="BL207" s="1138">
        <v>0</v>
      </c>
      <c r="BM207" s="1138">
        <v>0</v>
      </c>
      <c r="BN207" s="1138">
        <v>0</v>
      </c>
      <c r="BO207" s="1138">
        <v>450000</v>
      </c>
      <c r="BP207" s="1138">
        <v>0</v>
      </c>
      <c r="BQ207" s="1138">
        <v>500000</v>
      </c>
      <c r="BR207" s="1138">
        <v>0</v>
      </c>
      <c r="BS207" s="1138">
        <v>0</v>
      </c>
      <c r="BT207" s="1138">
        <v>942500</v>
      </c>
      <c r="BU207" s="1138">
        <v>0</v>
      </c>
      <c r="BV207" s="1138">
        <v>0</v>
      </c>
      <c r="BW207" s="1138">
        <v>0</v>
      </c>
      <c r="BX207" s="1138">
        <v>916037</v>
      </c>
      <c r="BY207" s="1138">
        <v>0</v>
      </c>
      <c r="BZ207" s="1138">
        <v>0</v>
      </c>
      <c r="CA207" s="1138">
        <v>707737</v>
      </c>
      <c r="CB207" s="1138">
        <v>0</v>
      </c>
    </row>
    <row r="208" spans="1:80" x14ac:dyDescent="0.3">
      <c r="B208" s="269">
        <v>558</v>
      </c>
      <c r="D208" s="269" t="s">
        <v>586</v>
      </c>
      <c r="E208" s="1138"/>
      <c r="F208" s="1138"/>
      <c r="G208" s="1138"/>
      <c r="H208" s="1138"/>
      <c r="I208" s="1138"/>
      <c r="J208" s="1138"/>
      <c r="K208" s="1138"/>
      <c r="L208" s="1138"/>
      <c r="M208" s="1138"/>
      <c r="N208" s="1138"/>
      <c r="O208" s="1138"/>
      <c r="P208" s="1138"/>
      <c r="Q208" s="1138"/>
      <c r="R208" s="1138"/>
      <c r="S208" s="1138"/>
      <c r="T208" s="1138"/>
      <c r="U208" s="1138"/>
      <c r="V208" s="1138"/>
      <c r="W208" s="1138"/>
      <c r="X208" s="1138"/>
      <c r="Y208" s="1138"/>
      <c r="Z208" s="1138"/>
      <c r="AA208" s="1138"/>
      <c r="AB208" s="1138"/>
      <c r="AC208" s="1138"/>
      <c r="AD208" s="1138"/>
      <c r="AE208" s="1138"/>
      <c r="AF208" s="1138"/>
      <c r="AG208" s="1138"/>
      <c r="AH208" s="1138"/>
      <c r="AI208" s="1138"/>
      <c r="AJ208" s="1138"/>
      <c r="AK208" s="1138"/>
      <c r="AL208" s="1138"/>
      <c r="AM208" s="1138"/>
      <c r="AN208" s="1138"/>
      <c r="AO208" s="1138"/>
      <c r="AP208" s="1138"/>
      <c r="AQ208" s="1138"/>
      <c r="AR208" s="1138"/>
      <c r="AS208" s="1138"/>
      <c r="AT208" s="1138"/>
      <c r="AU208" s="1138"/>
      <c r="AV208" s="1138"/>
      <c r="AW208" s="1138"/>
      <c r="AX208" s="1138"/>
      <c r="AY208" s="1138"/>
      <c r="AZ208" s="1138"/>
      <c r="BA208" s="1138"/>
      <c r="BB208" s="1138"/>
      <c r="BC208" s="1138"/>
      <c r="BD208" s="1138"/>
      <c r="BE208" s="1138"/>
      <c r="BF208" s="1138"/>
      <c r="BG208" s="1138"/>
      <c r="BH208" s="1138"/>
      <c r="BI208" s="1138"/>
      <c r="BJ208" s="1138"/>
      <c r="BK208" s="1138"/>
      <c r="BL208" s="1138"/>
      <c r="BM208" s="1138"/>
      <c r="BN208" s="1138"/>
      <c r="BO208" s="1138"/>
      <c r="BP208" s="1138"/>
      <c r="BQ208" s="1138"/>
      <c r="BR208" s="1138"/>
      <c r="BS208" s="1138"/>
      <c r="BT208" s="1138"/>
      <c r="BU208" s="1138"/>
      <c r="BV208" s="1138"/>
      <c r="BW208" s="1138"/>
      <c r="BX208" s="1138"/>
      <c r="BY208" s="1138"/>
      <c r="BZ208" s="1138"/>
      <c r="CA208" s="1138"/>
      <c r="CB208" s="1138"/>
    </row>
    <row r="209" spans="2:80" x14ac:dyDescent="0.3">
      <c r="B209" s="269">
        <v>559</v>
      </c>
      <c r="D209" s="269" t="s">
        <v>587</v>
      </c>
      <c r="E209" s="1138"/>
      <c r="F209" s="1138"/>
      <c r="G209" s="1138"/>
      <c r="H209" s="1138"/>
      <c r="I209" s="1138"/>
      <c r="J209" s="1138"/>
      <c r="K209" s="1138"/>
      <c r="L209" s="1138"/>
      <c r="M209" s="1138"/>
      <c r="N209" s="1138"/>
      <c r="O209" s="1138"/>
      <c r="P209" s="1138"/>
      <c r="Q209" s="1138"/>
      <c r="R209" s="1138"/>
      <c r="S209" s="1138"/>
      <c r="T209" s="1138"/>
      <c r="U209" s="1138"/>
      <c r="V209" s="1138"/>
      <c r="W209" s="1138"/>
      <c r="X209" s="1138"/>
      <c r="Y209" s="1138"/>
      <c r="Z209" s="1138"/>
      <c r="AA209" s="1138"/>
      <c r="AB209" s="1138"/>
      <c r="AC209" s="1138"/>
      <c r="AD209" s="1138"/>
      <c r="AE209" s="1138"/>
      <c r="AF209" s="1138"/>
      <c r="AG209" s="1138"/>
      <c r="AH209" s="1138"/>
      <c r="AI209" s="1138"/>
      <c r="AJ209" s="1138"/>
      <c r="AK209" s="1138"/>
      <c r="AL209" s="1138"/>
      <c r="AM209" s="1138"/>
      <c r="AN209" s="1138"/>
      <c r="AO209" s="1138"/>
      <c r="AP209" s="1138"/>
      <c r="AQ209" s="1138"/>
      <c r="AR209" s="1138"/>
      <c r="AS209" s="1138"/>
      <c r="AT209" s="1138"/>
      <c r="AU209" s="1138"/>
      <c r="AV209" s="1138"/>
      <c r="AW209" s="1138"/>
      <c r="AX209" s="1138"/>
      <c r="AY209" s="1138"/>
      <c r="AZ209" s="1138"/>
      <c r="BA209" s="1138"/>
      <c r="BB209" s="1138"/>
      <c r="BC209" s="1138"/>
      <c r="BD209" s="1138"/>
      <c r="BE209" s="1138"/>
      <c r="BF209" s="1138"/>
      <c r="BG209" s="1138"/>
      <c r="BH209" s="1138"/>
      <c r="BI209" s="1138"/>
      <c r="BJ209" s="1138"/>
      <c r="BK209" s="1138"/>
      <c r="BL209" s="1138"/>
      <c r="BM209" s="1138"/>
      <c r="BN209" s="1138"/>
      <c r="BO209" s="1138"/>
      <c r="BP209" s="1138"/>
      <c r="BQ209" s="1138"/>
      <c r="BR209" s="1138"/>
      <c r="BS209" s="1138"/>
      <c r="BT209" s="1138"/>
      <c r="BU209" s="1138"/>
      <c r="BV209" s="1138"/>
      <c r="BW209" s="1138"/>
      <c r="BX209" s="1138"/>
      <c r="BY209" s="1138"/>
      <c r="BZ209" s="1138"/>
      <c r="CA209" s="1138"/>
      <c r="CB209" s="1138"/>
    </row>
    <row r="210" spans="2:80" x14ac:dyDescent="0.3">
      <c r="B210" s="269">
        <v>560</v>
      </c>
      <c r="D210" s="269" t="s">
        <v>588</v>
      </c>
      <c r="E210" s="1138"/>
      <c r="F210" s="1138"/>
      <c r="G210" s="1138"/>
      <c r="H210" s="1138"/>
      <c r="I210" s="1138"/>
      <c r="J210" s="1138"/>
      <c r="K210" s="1138"/>
      <c r="L210" s="1138"/>
      <c r="M210" s="1138"/>
      <c r="N210" s="1138"/>
      <c r="O210" s="1138"/>
      <c r="P210" s="1138"/>
      <c r="Q210" s="1138"/>
      <c r="R210" s="1138"/>
      <c r="S210" s="1138"/>
      <c r="T210" s="1138"/>
      <c r="U210" s="1138"/>
      <c r="V210" s="1138"/>
      <c r="W210" s="1138"/>
      <c r="X210" s="1138"/>
      <c r="Y210" s="1138"/>
      <c r="Z210" s="1138"/>
      <c r="AA210" s="1138"/>
      <c r="AB210" s="1138"/>
      <c r="AC210" s="1138"/>
      <c r="AD210" s="1138"/>
      <c r="AE210" s="1138"/>
      <c r="AF210" s="1138"/>
      <c r="AG210" s="1138"/>
      <c r="AH210" s="1138"/>
      <c r="AI210" s="1138"/>
      <c r="AJ210" s="1138"/>
      <c r="AK210" s="1138"/>
      <c r="AL210" s="1138"/>
      <c r="AM210" s="1138"/>
      <c r="AN210" s="1138"/>
      <c r="AO210" s="1138"/>
      <c r="AP210" s="1138"/>
      <c r="AQ210" s="1138"/>
      <c r="AR210" s="1138"/>
      <c r="AS210" s="1138"/>
      <c r="AT210" s="1138"/>
      <c r="AU210" s="1138"/>
      <c r="AV210" s="1138"/>
      <c r="AW210" s="1138"/>
      <c r="AX210" s="1138"/>
      <c r="AY210" s="1138"/>
      <c r="AZ210" s="1138"/>
      <c r="BA210" s="1138"/>
      <c r="BB210" s="1138"/>
      <c r="BC210" s="1138"/>
      <c r="BD210" s="1138"/>
      <c r="BE210" s="1138"/>
      <c r="BF210" s="1138"/>
      <c r="BG210" s="1138"/>
      <c r="BH210" s="1138"/>
      <c r="BI210" s="1138"/>
      <c r="BJ210" s="1138"/>
      <c r="BK210" s="1138"/>
      <c r="BL210" s="1138"/>
      <c r="BM210" s="1138"/>
      <c r="BN210" s="1138"/>
      <c r="BO210" s="1138"/>
      <c r="BP210" s="1138"/>
      <c r="BQ210" s="1138"/>
      <c r="BR210" s="1138"/>
      <c r="BS210" s="1138"/>
      <c r="BT210" s="1138"/>
      <c r="BU210" s="1138"/>
      <c r="BV210" s="1138"/>
      <c r="BW210" s="1138"/>
      <c r="BX210" s="1138"/>
      <c r="BY210" s="1138"/>
      <c r="BZ210" s="1138"/>
      <c r="CA210" s="1138"/>
      <c r="CB210" s="1138"/>
    </row>
    <row r="211" spans="2:80" x14ac:dyDescent="0.3">
      <c r="B211" s="269">
        <v>561</v>
      </c>
      <c r="D211" s="269" t="s">
        <v>589</v>
      </c>
      <c r="E211" s="1138"/>
      <c r="F211" s="1138"/>
      <c r="G211" s="1138"/>
      <c r="H211" s="1138"/>
      <c r="I211" s="1138"/>
      <c r="J211" s="1138"/>
      <c r="K211" s="1138"/>
      <c r="L211" s="1138"/>
      <c r="M211" s="1138"/>
      <c r="N211" s="1138"/>
      <c r="O211" s="1138"/>
      <c r="P211" s="1138"/>
      <c r="Q211" s="1138"/>
      <c r="R211" s="1138"/>
      <c r="S211" s="1138"/>
      <c r="T211" s="1138"/>
      <c r="U211" s="1138"/>
      <c r="V211" s="1138"/>
      <c r="W211" s="1138"/>
      <c r="X211" s="1138"/>
      <c r="Y211" s="1138"/>
      <c r="Z211" s="1138"/>
      <c r="AA211" s="1138"/>
      <c r="AB211" s="1138"/>
      <c r="AC211" s="1138"/>
      <c r="AD211" s="1138"/>
      <c r="AE211" s="1138"/>
      <c r="AF211" s="1138"/>
      <c r="AG211" s="1138"/>
      <c r="AH211" s="1138"/>
      <c r="AI211" s="1138"/>
      <c r="AJ211" s="1138"/>
      <c r="AK211" s="1138"/>
      <c r="AL211" s="1138"/>
      <c r="AM211" s="1138"/>
      <c r="AN211" s="1138"/>
      <c r="AO211" s="1138"/>
      <c r="AP211" s="1138"/>
      <c r="AQ211" s="1138"/>
      <c r="AR211" s="1138"/>
      <c r="AS211" s="1138"/>
      <c r="AT211" s="1138"/>
      <c r="AU211" s="1138"/>
      <c r="AV211" s="1138"/>
      <c r="AW211" s="1138"/>
      <c r="AX211" s="1138"/>
      <c r="AY211" s="1138"/>
      <c r="AZ211" s="1138"/>
      <c r="BA211" s="1138"/>
      <c r="BB211" s="1138"/>
      <c r="BC211" s="1138"/>
      <c r="BD211" s="1138"/>
      <c r="BE211" s="1138"/>
      <c r="BF211" s="1138"/>
      <c r="BG211" s="1138"/>
      <c r="BH211" s="1138"/>
      <c r="BI211" s="1138"/>
      <c r="BJ211" s="1138"/>
      <c r="BK211" s="1138"/>
      <c r="BL211" s="1138"/>
      <c r="BM211" s="1138"/>
      <c r="BN211" s="1138"/>
      <c r="BO211" s="1138"/>
      <c r="BP211" s="1138"/>
      <c r="BQ211" s="1138"/>
      <c r="BR211" s="1138"/>
      <c r="BS211" s="1138"/>
      <c r="BT211" s="1138"/>
      <c r="BU211" s="1138"/>
      <c r="BV211" s="1138"/>
      <c r="BW211" s="1138"/>
      <c r="BX211" s="1138"/>
      <c r="BY211" s="1138"/>
      <c r="BZ211" s="1138"/>
      <c r="CA211" s="1138"/>
      <c r="CB211" s="1138"/>
    </row>
    <row r="212" spans="2:80" x14ac:dyDescent="0.3">
      <c r="B212" s="269">
        <v>562</v>
      </c>
      <c r="D212" s="269" t="s">
        <v>590</v>
      </c>
      <c r="E212" s="1138"/>
      <c r="F212" s="1138"/>
      <c r="G212" s="1138"/>
      <c r="H212" s="1138"/>
      <c r="I212" s="1138"/>
      <c r="J212" s="1138"/>
      <c r="K212" s="1138"/>
      <c r="L212" s="1138"/>
      <c r="M212" s="1138"/>
      <c r="N212" s="1138"/>
      <c r="O212" s="1138"/>
      <c r="P212" s="1138"/>
      <c r="Q212" s="1138"/>
      <c r="R212" s="1138"/>
      <c r="S212" s="1138"/>
      <c r="T212" s="1138"/>
      <c r="U212" s="1138"/>
      <c r="V212" s="1138"/>
      <c r="W212" s="1138"/>
      <c r="X212" s="1138"/>
      <c r="Y212" s="1138"/>
      <c r="Z212" s="1138"/>
      <c r="AA212" s="1138"/>
      <c r="AB212" s="1138"/>
      <c r="AC212" s="1138"/>
      <c r="AD212" s="1138"/>
      <c r="AE212" s="1138"/>
      <c r="AF212" s="1138"/>
      <c r="AG212" s="1138"/>
      <c r="AH212" s="1138"/>
      <c r="AI212" s="1138"/>
      <c r="AJ212" s="1138"/>
      <c r="AK212" s="1138"/>
      <c r="AL212" s="1138"/>
      <c r="AM212" s="1138"/>
      <c r="AN212" s="1138"/>
      <c r="AO212" s="1138"/>
      <c r="AP212" s="1138"/>
      <c r="AQ212" s="1138"/>
      <c r="AR212" s="1138"/>
      <c r="AS212" s="1138"/>
      <c r="AT212" s="1138"/>
      <c r="AU212" s="1138"/>
      <c r="AV212" s="1138"/>
      <c r="AW212" s="1138"/>
      <c r="AX212" s="1138"/>
      <c r="AY212" s="1138"/>
      <c r="AZ212" s="1138"/>
      <c r="BA212" s="1138"/>
      <c r="BB212" s="1138"/>
      <c r="BC212" s="1138"/>
      <c r="BD212" s="1138"/>
      <c r="BE212" s="1138"/>
      <c r="BF212" s="1138"/>
      <c r="BG212" s="1138"/>
      <c r="BH212" s="1138"/>
      <c r="BI212" s="1138"/>
      <c r="BJ212" s="1138"/>
      <c r="BK212" s="1138"/>
      <c r="BL212" s="1138"/>
      <c r="BM212" s="1138"/>
      <c r="BN212" s="1138"/>
      <c r="BO212" s="1138"/>
      <c r="BP212" s="1138"/>
      <c r="BQ212" s="1138"/>
      <c r="BR212" s="1138"/>
      <c r="BS212" s="1138"/>
      <c r="BT212" s="1138"/>
      <c r="BU212" s="1138"/>
      <c r="BV212" s="1138"/>
      <c r="BW212" s="1138"/>
      <c r="BX212" s="1138"/>
      <c r="BY212" s="1138"/>
      <c r="BZ212" s="1138"/>
      <c r="CA212" s="1138"/>
      <c r="CB212" s="1138"/>
    </row>
    <row r="213" spans="2:80" x14ac:dyDescent="0.3">
      <c r="B213" s="269">
        <v>563</v>
      </c>
      <c r="D213" s="269" t="s">
        <v>591</v>
      </c>
      <c r="E213" s="1138"/>
      <c r="F213" s="1138"/>
      <c r="G213" s="1138"/>
      <c r="H213" s="1138"/>
      <c r="I213" s="1138"/>
      <c r="J213" s="1138"/>
      <c r="K213" s="1138"/>
      <c r="L213" s="1138"/>
      <c r="M213" s="1138"/>
      <c r="N213" s="1138"/>
      <c r="O213" s="1138"/>
      <c r="P213" s="1138"/>
      <c r="Q213" s="1138"/>
      <c r="R213" s="1138"/>
      <c r="S213" s="1138"/>
      <c r="T213" s="1138"/>
      <c r="U213" s="1138"/>
      <c r="V213" s="1138"/>
      <c r="W213" s="1138"/>
      <c r="X213" s="1138"/>
      <c r="Y213" s="1138"/>
      <c r="Z213" s="1138"/>
      <c r="AA213" s="1138"/>
      <c r="AB213" s="1138"/>
      <c r="AC213" s="1138"/>
      <c r="AD213" s="1138"/>
      <c r="AE213" s="1138"/>
      <c r="AF213" s="1138"/>
      <c r="AG213" s="1138"/>
      <c r="AH213" s="1138"/>
      <c r="AI213" s="1138"/>
      <c r="AJ213" s="1138"/>
      <c r="AK213" s="1138"/>
      <c r="AL213" s="1138"/>
      <c r="AM213" s="1138"/>
      <c r="AN213" s="1138"/>
      <c r="AO213" s="1138"/>
      <c r="AP213" s="1138"/>
      <c r="AQ213" s="1138"/>
      <c r="AR213" s="1138"/>
      <c r="AS213" s="1138"/>
      <c r="AT213" s="1138"/>
      <c r="AU213" s="1138"/>
      <c r="AV213" s="1138"/>
      <c r="AW213" s="1138"/>
      <c r="AX213" s="1138"/>
      <c r="AY213" s="1138"/>
      <c r="AZ213" s="1138"/>
      <c r="BA213" s="1138"/>
      <c r="BB213" s="1138"/>
      <c r="BC213" s="1138"/>
      <c r="BD213" s="1138"/>
      <c r="BE213" s="1138"/>
      <c r="BF213" s="1138"/>
      <c r="BG213" s="1138"/>
      <c r="BH213" s="1138"/>
      <c r="BI213" s="1138"/>
      <c r="BJ213" s="1138"/>
      <c r="BK213" s="1138"/>
      <c r="BL213" s="1138"/>
      <c r="BM213" s="1138"/>
      <c r="BN213" s="1138"/>
      <c r="BO213" s="1138"/>
      <c r="BP213" s="1138"/>
      <c r="BQ213" s="1138"/>
      <c r="BR213" s="1138"/>
      <c r="BS213" s="1138"/>
      <c r="BT213" s="1138"/>
      <c r="BU213" s="1138"/>
      <c r="BV213" s="1138"/>
      <c r="BW213" s="1138"/>
      <c r="BX213" s="1138"/>
      <c r="BY213" s="1138"/>
      <c r="BZ213" s="1138"/>
      <c r="CA213" s="1138"/>
      <c r="CB213" s="1138"/>
    </row>
    <row r="214" spans="2:80" x14ac:dyDescent="0.3">
      <c r="B214" s="269">
        <v>564</v>
      </c>
      <c r="D214" s="269" t="s">
        <v>592</v>
      </c>
      <c r="E214" s="1138"/>
      <c r="F214" s="1138"/>
      <c r="G214" s="1138"/>
      <c r="H214" s="1138"/>
      <c r="I214" s="1138"/>
      <c r="J214" s="1138"/>
      <c r="K214" s="1138"/>
      <c r="L214" s="1138"/>
      <c r="M214" s="1138"/>
      <c r="N214" s="1138"/>
      <c r="O214" s="1138"/>
      <c r="P214" s="1138"/>
      <c r="Q214" s="1138"/>
      <c r="R214" s="1138"/>
      <c r="S214" s="1138"/>
      <c r="T214" s="1138"/>
      <c r="U214" s="1138"/>
      <c r="V214" s="1138"/>
      <c r="W214" s="1138"/>
      <c r="X214" s="1138"/>
      <c r="Y214" s="1138"/>
      <c r="Z214" s="1138"/>
      <c r="AA214" s="1138"/>
      <c r="AB214" s="1138"/>
      <c r="AC214" s="1138"/>
      <c r="AD214" s="1138"/>
      <c r="AE214" s="1138"/>
      <c r="AF214" s="1138"/>
      <c r="AG214" s="1138"/>
      <c r="AH214" s="1138"/>
      <c r="AI214" s="1138"/>
      <c r="AJ214" s="1138"/>
      <c r="AK214" s="1138"/>
      <c r="AL214" s="1138"/>
      <c r="AM214" s="1138"/>
      <c r="AN214" s="1138"/>
      <c r="AO214" s="1138"/>
      <c r="AP214" s="1138"/>
      <c r="AQ214" s="1138"/>
      <c r="AR214" s="1138"/>
      <c r="AS214" s="1138"/>
      <c r="AT214" s="1138"/>
      <c r="AU214" s="1138"/>
      <c r="AV214" s="1138"/>
      <c r="AW214" s="1138"/>
      <c r="AX214" s="1138"/>
      <c r="AY214" s="1138"/>
      <c r="AZ214" s="1138"/>
      <c r="BA214" s="1138"/>
      <c r="BB214" s="1138"/>
      <c r="BC214" s="1138"/>
      <c r="BD214" s="1138"/>
      <c r="BE214" s="1138"/>
      <c r="BF214" s="1138"/>
      <c r="BG214" s="1138"/>
      <c r="BH214" s="1138"/>
      <c r="BI214" s="1138"/>
      <c r="BJ214" s="1138"/>
      <c r="BK214" s="1138"/>
      <c r="BL214" s="1138"/>
      <c r="BM214" s="1138"/>
      <c r="BN214" s="1138"/>
      <c r="BO214" s="1138"/>
      <c r="BP214" s="1138"/>
      <c r="BQ214" s="1138"/>
      <c r="BR214" s="1138"/>
      <c r="BS214" s="1138"/>
      <c r="BT214" s="1138"/>
      <c r="BU214" s="1138"/>
      <c r="BV214" s="1138"/>
      <c r="BW214" s="1138"/>
      <c r="BX214" s="1138"/>
      <c r="BY214" s="1138"/>
      <c r="BZ214" s="1138"/>
      <c r="CA214" s="1138"/>
      <c r="CB214" s="1138"/>
    </row>
    <row r="215" spans="2:80" x14ac:dyDescent="0.3">
      <c r="B215" s="269">
        <v>565</v>
      </c>
      <c r="D215" s="269" t="s">
        <v>593</v>
      </c>
      <c r="E215" s="1138"/>
      <c r="F215" s="1138"/>
      <c r="G215" s="1138"/>
      <c r="H215" s="1138"/>
      <c r="I215" s="1138"/>
      <c r="J215" s="1138"/>
      <c r="K215" s="1138"/>
      <c r="L215" s="1138"/>
      <c r="M215" s="1138"/>
      <c r="N215" s="1138"/>
      <c r="O215" s="1138"/>
      <c r="P215" s="1138"/>
      <c r="Q215" s="1138"/>
      <c r="R215" s="1138"/>
      <c r="S215" s="1138"/>
      <c r="T215" s="1138"/>
      <c r="U215" s="1138"/>
      <c r="V215" s="1138"/>
      <c r="W215" s="1138"/>
      <c r="X215" s="1138"/>
      <c r="Y215" s="1138"/>
      <c r="Z215" s="1138"/>
      <c r="AA215" s="1138"/>
      <c r="AB215" s="1138"/>
      <c r="AC215" s="1138"/>
      <c r="AD215" s="1138"/>
      <c r="AE215" s="1138"/>
      <c r="AF215" s="1138"/>
      <c r="AG215" s="1138"/>
      <c r="AH215" s="1138"/>
      <c r="AI215" s="1138"/>
      <c r="AJ215" s="1138"/>
      <c r="AK215" s="1138"/>
      <c r="AL215" s="1138"/>
      <c r="AM215" s="1138"/>
      <c r="AN215" s="1138"/>
      <c r="AO215" s="1138"/>
      <c r="AP215" s="1138"/>
      <c r="AQ215" s="1138"/>
      <c r="AR215" s="1138"/>
      <c r="AS215" s="1138"/>
      <c r="AT215" s="1138"/>
      <c r="AU215" s="1138"/>
      <c r="AV215" s="1138"/>
      <c r="AW215" s="1138"/>
      <c r="AX215" s="1138"/>
      <c r="AY215" s="1138"/>
      <c r="AZ215" s="1138"/>
      <c r="BA215" s="1138"/>
      <c r="BB215" s="1138"/>
      <c r="BC215" s="1138"/>
      <c r="BD215" s="1138"/>
      <c r="BE215" s="1138"/>
      <c r="BF215" s="1138"/>
      <c r="BG215" s="1138"/>
      <c r="BH215" s="1138"/>
      <c r="BI215" s="1138"/>
      <c r="BJ215" s="1138"/>
      <c r="BK215" s="1138"/>
      <c r="BL215" s="1138"/>
      <c r="BM215" s="1138"/>
      <c r="BN215" s="1138"/>
      <c r="BO215" s="1138"/>
      <c r="BP215" s="1138"/>
      <c r="BQ215" s="1138"/>
      <c r="BR215" s="1138"/>
      <c r="BS215" s="1138"/>
      <c r="BT215" s="1138"/>
      <c r="BU215" s="1138"/>
      <c r="BV215" s="1138"/>
      <c r="BW215" s="1138"/>
      <c r="BX215" s="1138"/>
      <c r="BY215" s="1138"/>
      <c r="BZ215" s="1138"/>
      <c r="CA215" s="1138"/>
      <c r="CB215" s="1138"/>
    </row>
    <row r="216" spans="2:80" x14ac:dyDescent="0.3">
      <c r="B216" s="269">
        <v>566</v>
      </c>
      <c r="D216" s="269" t="s">
        <v>594</v>
      </c>
      <c r="E216" s="1138"/>
      <c r="F216" s="1138"/>
      <c r="G216" s="1138"/>
      <c r="H216" s="1138"/>
      <c r="I216" s="1138"/>
      <c r="J216" s="1138"/>
      <c r="K216" s="1138"/>
      <c r="L216" s="1138"/>
      <c r="M216" s="1138"/>
      <c r="N216" s="1138"/>
      <c r="O216" s="1138"/>
      <c r="P216" s="1138"/>
      <c r="Q216" s="1138"/>
      <c r="R216" s="1138"/>
      <c r="S216" s="1138"/>
      <c r="T216" s="1138"/>
      <c r="U216" s="1138"/>
      <c r="V216" s="1138"/>
      <c r="W216" s="1138"/>
      <c r="X216" s="1138"/>
      <c r="Y216" s="1138"/>
      <c r="Z216" s="1138"/>
      <c r="AA216" s="1138"/>
      <c r="AB216" s="1138"/>
      <c r="AC216" s="1138"/>
      <c r="AD216" s="1138"/>
      <c r="AE216" s="1138"/>
      <c r="AF216" s="1138"/>
      <c r="AG216" s="1138"/>
      <c r="AH216" s="1138"/>
      <c r="AI216" s="1138"/>
      <c r="AJ216" s="1138"/>
      <c r="AK216" s="1138"/>
      <c r="AL216" s="1138"/>
      <c r="AM216" s="1138"/>
      <c r="AN216" s="1138"/>
      <c r="AO216" s="1138"/>
      <c r="AP216" s="1138"/>
      <c r="AQ216" s="1138"/>
      <c r="AR216" s="1138"/>
      <c r="AS216" s="1138"/>
      <c r="AT216" s="1138"/>
      <c r="AU216" s="1138"/>
      <c r="AV216" s="1138"/>
      <c r="AW216" s="1138"/>
      <c r="AX216" s="1138"/>
      <c r="AY216" s="1138"/>
      <c r="AZ216" s="1138"/>
      <c r="BA216" s="1138"/>
      <c r="BB216" s="1138"/>
      <c r="BC216" s="1138"/>
      <c r="BD216" s="1138"/>
      <c r="BE216" s="1138"/>
      <c r="BF216" s="1138"/>
      <c r="BG216" s="1138"/>
      <c r="BH216" s="1138"/>
      <c r="BI216" s="1138"/>
      <c r="BJ216" s="1138"/>
      <c r="BK216" s="1138"/>
      <c r="BL216" s="1138"/>
      <c r="BM216" s="1138"/>
      <c r="BN216" s="1138"/>
      <c r="BO216" s="1138"/>
      <c r="BP216" s="1138"/>
      <c r="BQ216" s="1138"/>
      <c r="BR216" s="1138"/>
      <c r="BS216" s="1138"/>
      <c r="BT216" s="1138"/>
      <c r="BU216" s="1138"/>
      <c r="BV216" s="1138"/>
      <c r="BW216" s="1138"/>
      <c r="BX216" s="1138"/>
      <c r="BY216" s="1138"/>
      <c r="BZ216" s="1138"/>
      <c r="CA216" s="1138"/>
      <c r="CB216" s="1138"/>
    </row>
    <row r="217" spans="2:80" x14ac:dyDescent="0.3">
      <c r="B217" s="269">
        <v>567</v>
      </c>
      <c r="D217" s="269" t="s">
        <v>595</v>
      </c>
      <c r="E217" s="1138"/>
      <c r="F217" s="1138"/>
      <c r="G217" s="1138"/>
      <c r="H217" s="1138"/>
      <c r="I217" s="1138"/>
      <c r="J217" s="1138"/>
      <c r="K217" s="1138"/>
      <c r="L217" s="1138"/>
      <c r="M217" s="1138"/>
      <c r="N217" s="1138"/>
      <c r="O217" s="1138"/>
      <c r="P217" s="1138"/>
      <c r="Q217" s="1138"/>
      <c r="R217" s="1138"/>
      <c r="S217" s="1138"/>
      <c r="T217" s="1138"/>
      <c r="U217" s="1138"/>
      <c r="V217" s="1138"/>
      <c r="W217" s="1138"/>
      <c r="X217" s="1138"/>
      <c r="Y217" s="1138"/>
      <c r="Z217" s="1138"/>
      <c r="AA217" s="1138"/>
      <c r="AB217" s="1138"/>
      <c r="AC217" s="1138"/>
      <c r="AD217" s="1138"/>
      <c r="AE217" s="1138"/>
      <c r="AF217" s="1138"/>
      <c r="AG217" s="1138"/>
      <c r="AH217" s="1138"/>
      <c r="AI217" s="1138"/>
      <c r="AJ217" s="1138"/>
      <c r="AK217" s="1138"/>
      <c r="AL217" s="1138"/>
      <c r="AM217" s="1138"/>
      <c r="AN217" s="1138"/>
      <c r="AO217" s="1138"/>
      <c r="AP217" s="1138"/>
      <c r="AQ217" s="1138"/>
      <c r="AR217" s="1138"/>
      <c r="AS217" s="1138"/>
      <c r="AT217" s="1138"/>
      <c r="AU217" s="1138"/>
      <c r="AV217" s="1138"/>
      <c r="AW217" s="1138"/>
      <c r="AX217" s="1138"/>
      <c r="AY217" s="1138"/>
      <c r="AZ217" s="1138"/>
      <c r="BA217" s="1138"/>
      <c r="BB217" s="1138"/>
      <c r="BC217" s="1138"/>
      <c r="BD217" s="1138"/>
      <c r="BE217" s="1138"/>
      <c r="BF217" s="1138"/>
      <c r="BG217" s="1138"/>
      <c r="BH217" s="1138"/>
      <c r="BI217" s="1138"/>
      <c r="BJ217" s="1138"/>
      <c r="BK217" s="1138"/>
      <c r="BL217" s="1138"/>
      <c r="BM217" s="1138"/>
      <c r="BN217" s="1138"/>
      <c r="BO217" s="1138"/>
      <c r="BP217" s="1138"/>
      <c r="BQ217" s="1138"/>
      <c r="BR217" s="1138"/>
      <c r="BS217" s="1138"/>
      <c r="BT217" s="1138"/>
      <c r="BU217" s="1138"/>
      <c r="BV217" s="1138"/>
      <c r="BW217" s="1138"/>
      <c r="BX217" s="1138"/>
      <c r="BY217" s="1138"/>
      <c r="BZ217" s="1138"/>
      <c r="CA217" s="1138"/>
      <c r="CB217" s="1138"/>
    </row>
    <row r="218" spans="2:80" x14ac:dyDescent="0.3">
      <c r="B218" s="269">
        <v>568</v>
      </c>
      <c r="D218" s="269" t="s">
        <v>596</v>
      </c>
      <c r="E218" s="1138"/>
      <c r="F218" s="1138"/>
      <c r="G218" s="1138"/>
      <c r="H218" s="1138"/>
      <c r="I218" s="1138"/>
      <c r="J218" s="1138"/>
      <c r="K218" s="1138"/>
      <c r="L218" s="1138"/>
      <c r="M218" s="1138"/>
      <c r="N218" s="1138"/>
      <c r="O218" s="1138"/>
      <c r="P218" s="1138"/>
      <c r="Q218" s="1138"/>
      <c r="R218" s="1138"/>
      <c r="S218" s="1138"/>
      <c r="T218" s="1138"/>
      <c r="U218" s="1138"/>
      <c r="V218" s="1138"/>
      <c r="W218" s="1138"/>
      <c r="X218" s="1138"/>
      <c r="Y218" s="1138"/>
      <c r="Z218" s="1138"/>
      <c r="AA218" s="1138"/>
      <c r="AB218" s="1138"/>
      <c r="AC218" s="1138"/>
      <c r="AD218" s="1138"/>
      <c r="AE218" s="1138"/>
      <c r="AF218" s="1138"/>
      <c r="AG218" s="1138"/>
      <c r="AH218" s="1138"/>
      <c r="AI218" s="1138"/>
      <c r="AJ218" s="1138"/>
      <c r="AK218" s="1138"/>
      <c r="AL218" s="1138"/>
      <c r="AM218" s="1138"/>
      <c r="AN218" s="1138"/>
      <c r="AO218" s="1138"/>
      <c r="AP218" s="1138"/>
      <c r="AQ218" s="1138"/>
      <c r="AR218" s="1138"/>
      <c r="AS218" s="1138"/>
      <c r="AT218" s="1138"/>
      <c r="AU218" s="1138"/>
      <c r="AV218" s="1138"/>
      <c r="AW218" s="1138"/>
      <c r="AX218" s="1138"/>
      <c r="AY218" s="1138"/>
      <c r="AZ218" s="1138"/>
      <c r="BA218" s="1138"/>
      <c r="BB218" s="1138"/>
      <c r="BC218" s="1138"/>
      <c r="BD218" s="1138"/>
      <c r="BE218" s="1138"/>
      <c r="BF218" s="1138"/>
      <c r="BG218" s="1138"/>
      <c r="BH218" s="1138"/>
      <c r="BI218" s="1138"/>
      <c r="BJ218" s="1138"/>
      <c r="BK218" s="1138"/>
      <c r="BL218" s="1138"/>
      <c r="BM218" s="1138"/>
      <c r="BN218" s="1138"/>
      <c r="BO218" s="1138"/>
      <c r="BP218" s="1138"/>
      <c r="BQ218" s="1138"/>
      <c r="BR218" s="1138"/>
      <c r="BS218" s="1138"/>
      <c r="BT218" s="1138"/>
      <c r="BU218" s="1138"/>
      <c r="BV218" s="1138"/>
      <c r="BW218" s="1138"/>
      <c r="BX218" s="1138"/>
      <c r="BY218" s="1138"/>
      <c r="BZ218" s="1138"/>
      <c r="CA218" s="1138"/>
      <c r="CB218" s="1138"/>
    </row>
    <row r="219" spans="2:80" x14ac:dyDescent="0.3">
      <c r="B219" s="269">
        <v>569</v>
      </c>
      <c r="D219" s="269" t="s">
        <v>597</v>
      </c>
      <c r="E219" s="1138"/>
      <c r="F219" s="1138"/>
      <c r="G219" s="1138"/>
      <c r="H219" s="1138"/>
      <c r="I219" s="1138"/>
      <c r="J219" s="1138"/>
      <c r="K219" s="1138"/>
      <c r="L219" s="1138"/>
      <c r="M219" s="1138"/>
      <c r="N219" s="1138"/>
      <c r="O219" s="1138"/>
      <c r="P219" s="1138"/>
      <c r="Q219" s="1138"/>
      <c r="R219" s="1138"/>
      <c r="S219" s="1138"/>
      <c r="T219" s="1138"/>
      <c r="U219" s="1138"/>
      <c r="V219" s="1138"/>
      <c r="W219" s="1138"/>
      <c r="X219" s="1138"/>
      <c r="Y219" s="1138"/>
      <c r="Z219" s="1138"/>
      <c r="AA219" s="1138"/>
      <c r="AB219" s="1138"/>
      <c r="AC219" s="1138"/>
      <c r="AD219" s="1138"/>
      <c r="AE219" s="1138"/>
      <c r="AF219" s="1138"/>
      <c r="AG219" s="1138"/>
      <c r="AH219" s="1138"/>
      <c r="AI219" s="1138"/>
      <c r="AJ219" s="1138"/>
      <c r="AK219" s="1138"/>
      <c r="AL219" s="1138"/>
      <c r="AM219" s="1138"/>
      <c r="AN219" s="1138"/>
      <c r="AO219" s="1138"/>
      <c r="AP219" s="1138"/>
      <c r="AQ219" s="1138"/>
      <c r="AR219" s="1138"/>
      <c r="AS219" s="1138"/>
      <c r="AT219" s="1138"/>
      <c r="AU219" s="1138"/>
      <c r="AV219" s="1138"/>
      <c r="AW219" s="1138"/>
      <c r="AX219" s="1138"/>
      <c r="AY219" s="1138"/>
      <c r="AZ219" s="1138"/>
      <c r="BA219" s="1138"/>
      <c r="BB219" s="1138"/>
      <c r="BC219" s="1138"/>
      <c r="BD219" s="1138"/>
      <c r="BE219" s="1138"/>
      <c r="BF219" s="1138"/>
      <c r="BG219" s="1138"/>
      <c r="BH219" s="1138"/>
      <c r="BI219" s="1138"/>
      <c r="BJ219" s="1138"/>
      <c r="BK219" s="1138"/>
      <c r="BL219" s="1138"/>
      <c r="BM219" s="1138"/>
      <c r="BN219" s="1138"/>
      <c r="BO219" s="1138"/>
      <c r="BP219" s="1138"/>
      <c r="BQ219" s="1138"/>
      <c r="BR219" s="1138"/>
      <c r="BS219" s="1138"/>
      <c r="BT219" s="1138"/>
      <c r="BU219" s="1138"/>
      <c r="BV219" s="1138"/>
      <c r="BW219" s="1138"/>
      <c r="BX219" s="1138"/>
      <c r="BY219" s="1138"/>
      <c r="BZ219" s="1138"/>
      <c r="CA219" s="1138"/>
      <c r="CB219" s="1138"/>
    </row>
    <row r="220" spans="2:80" x14ac:dyDescent="0.3">
      <c r="B220" s="269">
        <v>570</v>
      </c>
      <c r="D220" s="269" t="s">
        <v>598</v>
      </c>
      <c r="E220" s="1138"/>
      <c r="F220" s="1138"/>
      <c r="G220" s="1138"/>
      <c r="H220" s="1138"/>
      <c r="I220" s="1138"/>
      <c r="J220" s="1138"/>
      <c r="K220" s="1138"/>
      <c r="L220" s="1138"/>
      <c r="M220" s="1138"/>
      <c r="N220" s="1138"/>
      <c r="O220" s="1138"/>
      <c r="P220" s="1138"/>
      <c r="Q220" s="1138"/>
      <c r="R220" s="1138"/>
      <c r="S220" s="1138"/>
      <c r="T220" s="1138"/>
      <c r="U220" s="1138"/>
      <c r="V220" s="1138"/>
      <c r="W220" s="1138"/>
      <c r="X220" s="1138"/>
      <c r="Y220" s="1138"/>
      <c r="Z220" s="1138"/>
      <c r="AA220" s="1138"/>
      <c r="AB220" s="1138"/>
      <c r="AC220" s="1138"/>
      <c r="AD220" s="1138"/>
      <c r="AE220" s="1138"/>
      <c r="AF220" s="1138"/>
      <c r="AG220" s="1138"/>
      <c r="AH220" s="1138"/>
      <c r="AI220" s="1138"/>
      <c r="AJ220" s="1138"/>
      <c r="AK220" s="1138"/>
      <c r="AL220" s="1138"/>
      <c r="AM220" s="1138"/>
      <c r="AN220" s="1138"/>
      <c r="AO220" s="1138"/>
      <c r="AP220" s="1138"/>
      <c r="AQ220" s="1138"/>
      <c r="AR220" s="1138"/>
      <c r="AS220" s="1138"/>
      <c r="AT220" s="1138"/>
      <c r="AU220" s="1138"/>
      <c r="AV220" s="1138"/>
      <c r="AW220" s="1138"/>
      <c r="AX220" s="1138"/>
      <c r="AY220" s="1138"/>
      <c r="AZ220" s="1138"/>
      <c r="BA220" s="1138"/>
      <c r="BB220" s="1138"/>
      <c r="BC220" s="1138"/>
      <c r="BD220" s="1138"/>
      <c r="BE220" s="1138"/>
      <c r="BF220" s="1138"/>
      <c r="BG220" s="1138"/>
      <c r="BH220" s="1138"/>
      <c r="BI220" s="1138"/>
      <c r="BJ220" s="1138"/>
      <c r="BK220" s="1138"/>
      <c r="BL220" s="1138"/>
      <c r="BM220" s="1138"/>
      <c r="BN220" s="1138"/>
      <c r="BO220" s="1138"/>
      <c r="BP220" s="1138"/>
      <c r="BQ220" s="1138"/>
      <c r="BR220" s="1138"/>
      <c r="BS220" s="1138"/>
      <c r="BT220" s="1138"/>
      <c r="BU220" s="1138"/>
      <c r="BV220" s="1138"/>
      <c r="BW220" s="1138"/>
      <c r="BX220" s="1138"/>
      <c r="BY220" s="1138"/>
      <c r="BZ220" s="1138"/>
      <c r="CA220" s="1138"/>
      <c r="CB220" s="1138"/>
    </row>
    <row r="221" spans="2:80" x14ac:dyDescent="0.3">
      <c r="B221" s="269">
        <v>571</v>
      </c>
      <c r="D221" s="269" t="s">
        <v>599</v>
      </c>
      <c r="E221" s="1138"/>
      <c r="F221" s="1138"/>
      <c r="G221" s="1138"/>
      <c r="H221" s="1138"/>
      <c r="I221" s="1138"/>
      <c r="J221" s="1138"/>
      <c r="K221" s="1138"/>
      <c r="L221" s="1138"/>
      <c r="M221" s="1138"/>
      <c r="N221" s="1138"/>
      <c r="O221" s="1138"/>
      <c r="P221" s="1138"/>
      <c r="Q221" s="1138"/>
      <c r="R221" s="1138"/>
      <c r="S221" s="1138"/>
      <c r="T221" s="1138"/>
      <c r="U221" s="1138"/>
      <c r="V221" s="1138"/>
      <c r="W221" s="1138"/>
      <c r="X221" s="1138"/>
      <c r="Y221" s="1138"/>
      <c r="Z221" s="1138"/>
      <c r="AA221" s="1138"/>
      <c r="AB221" s="1138"/>
      <c r="AC221" s="1138"/>
      <c r="AD221" s="1138"/>
      <c r="AE221" s="1138"/>
      <c r="AF221" s="1138"/>
      <c r="AG221" s="1138"/>
      <c r="AH221" s="1138"/>
      <c r="AI221" s="1138"/>
      <c r="AJ221" s="1138"/>
      <c r="AK221" s="1138"/>
      <c r="AL221" s="1138"/>
      <c r="AM221" s="1138"/>
      <c r="AN221" s="1138"/>
      <c r="AO221" s="1138"/>
      <c r="AP221" s="1138"/>
      <c r="AQ221" s="1138"/>
      <c r="AR221" s="1138"/>
      <c r="AS221" s="1138"/>
      <c r="AT221" s="1138"/>
      <c r="AU221" s="1138"/>
      <c r="AV221" s="1138"/>
      <c r="AW221" s="1138"/>
      <c r="AX221" s="1138"/>
      <c r="AY221" s="1138"/>
      <c r="AZ221" s="1138"/>
      <c r="BA221" s="1138"/>
      <c r="BB221" s="1138"/>
      <c r="BC221" s="1138"/>
      <c r="BD221" s="1138"/>
      <c r="BE221" s="1138"/>
      <c r="BF221" s="1138"/>
      <c r="BG221" s="1138"/>
      <c r="BH221" s="1138"/>
      <c r="BI221" s="1138"/>
      <c r="BJ221" s="1138"/>
      <c r="BK221" s="1138"/>
      <c r="BL221" s="1138"/>
      <c r="BM221" s="1138"/>
      <c r="BN221" s="1138"/>
      <c r="BO221" s="1138"/>
      <c r="BP221" s="1138"/>
      <c r="BQ221" s="1138"/>
      <c r="BR221" s="1138"/>
      <c r="BS221" s="1138"/>
      <c r="BT221" s="1138"/>
      <c r="BU221" s="1138"/>
      <c r="BV221" s="1138"/>
      <c r="BW221" s="1138"/>
      <c r="BX221" s="1138"/>
      <c r="BY221" s="1138"/>
      <c r="BZ221" s="1138"/>
      <c r="CA221" s="1138"/>
      <c r="CB221" s="1138"/>
    </row>
    <row r="222" spans="2:80" x14ac:dyDescent="0.3">
      <c r="B222" s="269">
        <v>572</v>
      </c>
      <c r="D222" s="269" t="s">
        <v>600</v>
      </c>
      <c r="E222" s="1138"/>
      <c r="F222" s="1138"/>
      <c r="G222" s="1138"/>
      <c r="H222" s="1138"/>
      <c r="I222" s="1138"/>
      <c r="J222" s="1138"/>
      <c r="K222" s="1138"/>
      <c r="L222" s="1138"/>
      <c r="M222" s="1138"/>
      <c r="N222" s="1138"/>
      <c r="O222" s="1138"/>
      <c r="P222" s="1138"/>
      <c r="Q222" s="1138"/>
      <c r="R222" s="1138"/>
      <c r="S222" s="1138"/>
      <c r="T222" s="1138"/>
      <c r="U222" s="1138"/>
      <c r="V222" s="1138"/>
      <c r="W222" s="1138"/>
      <c r="X222" s="1138"/>
      <c r="Y222" s="1138"/>
      <c r="Z222" s="1138"/>
      <c r="AA222" s="1138"/>
      <c r="AB222" s="1138"/>
      <c r="AC222" s="1138"/>
      <c r="AD222" s="1138"/>
      <c r="AE222" s="1138"/>
      <c r="AF222" s="1138"/>
      <c r="AG222" s="1138"/>
      <c r="AH222" s="1138"/>
      <c r="AI222" s="1138"/>
      <c r="AJ222" s="1138"/>
      <c r="AK222" s="1138"/>
      <c r="AL222" s="1138"/>
      <c r="AM222" s="1138"/>
      <c r="AN222" s="1138"/>
      <c r="AO222" s="1138"/>
      <c r="AP222" s="1138"/>
      <c r="AQ222" s="1138"/>
      <c r="AR222" s="1138"/>
      <c r="AS222" s="1138"/>
      <c r="AT222" s="1138"/>
      <c r="AU222" s="1138"/>
      <c r="AV222" s="1138"/>
      <c r="AW222" s="1138"/>
      <c r="AX222" s="1138"/>
      <c r="AY222" s="1138"/>
      <c r="AZ222" s="1138"/>
      <c r="BA222" s="1138"/>
      <c r="BB222" s="1138"/>
      <c r="BC222" s="1138"/>
      <c r="BD222" s="1138"/>
      <c r="BE222" s="1138"/>
      <c r="BF222" s="1138"/>
      <c r="BG222" s="1138"/>
      <c r="BH222" s="1138"/>
      <c r="BI222" s="1138"/>
      <c r="BJ222" s="1138"/>
      <c r="BK222" s="1138"/>
      <c r="BL222" s="1138"/>
      <c r="BM222" s="1138"/>
      <c r="BN222" s="1138"/>
      <c r="BO222" s="1138"/>
      <c r="BP222" s="1138"/>
      <c r="BQ222" s="1138"/>
      <c r="BR222" s="1138"/>
      <c r="BS222" s="1138"/>
      <c r="BT222" s="1138"/>
      <c r="BU222" s="1138"/>
      <c r="BV222" s="1138"/>
      <c r="BW222" s="1138"/>
      <c r="BX222" s="1138"/>
      <c r="BY222" s="1138"/>
      <c r="BZ222" s="1138"/>
      <c r="CA222" s="1138"/>
      <c r="CB222" s="1138"/>
    </row>
    <row r="223" spans="2:80" x14ac:dyDescent="0.3">
      <c r="B223" s="269">
        <v>573</v>
      </c>
      <c r="D223" s="269" t="s">
        <v>601</v>
      </c>
      <c r="E223" s="1138"/>
      <c r="F223" s="1138"/>
      <c r="G223" s="1138"/>
      <c r="H223" s="1138"/>
      <c r="I223" s="1138"/>
      <c r="J223" s="1138"/>
      <c r="K223" s="1138"/>
      <c r="L223" s="1138"/>
      <c r="M223" s="1138"/>
      <c r="N223" s="1138"/>
      <c r="O223" s="1138"/>
      <c r="P223" s="1138"/>
      <c r="Q223" s="1138"/>
      <c r="R223" s="1138"/>
      <c r="S223" s="1138"/>
      <c r="T223" s="1138"/>
      <c r="U223" s="1138"/>
      <c r="V223" s="1138"/>
      <c r="W223" s="1138"/>
      <c r="X223" s="1138"/>
      <c r="Y223" s="1138"/>
      <c r="Z223" s="1138"/>
      <c r="AA223" s="1138"/>
      <c r="AB223" s="1138"/>
      <c r="AC223" s="1138"/>
      <c r="AD223" s="1138"/>
      <c r="AE223" s="1138"/>
      <c r="AF223" s="1138"/>
      <c r="AG223" s="1138"/>
      <c r="AH223" s="1138"/>
      <c r="AI223" s="1138"/>
      <c r="AJ223" s="1138"/>
      <c r="AK223" s="1138"/>
      <c r="AL223" s="1138"/>
      <c r="AM223" s="1138"/>
      <c r="AN223" s="1138"/>
      <c r="AO223" s="1138"/>
      <c r="AP223" s="1138"/>
      <c r="AQ223" s="1138"/>
      <c r="AR223" s="1138"/>
      <c r="AS223" s="1138"/>
      <c r="AT223" s="1138"/>
      <c r="AU223" s="1138"/>
      <c r="AV223" s="1138"/>
      <c r="AW223" s="1138"/>
      <c r="AX223" s="1138"/>
      <c r="AY223" s="1138"/>
      <c r="AZ223" s="1138"/>
      <c r="BA223" s="1138"/>
      <c r="BB223" s="1138"/>
      <c r="BC223" s="1138"/>
      <c r="BD223" s="1138"/>
      <c r="BE223" s="1138"/>
      <c r="BF223" s="1138"/>
      <c r="BG223" s="1138"/>
      <c r="BH223" s="1138"/>
      <c r="BI223" s="1138"/>
      <c r="BJ223" s="1138"/>
      <c r="BK223" s="1138"/>
      <c r="BL223" s="1138"/>
      <c r="BM223" s="1138"/>
      <c r="BN223" s="1138"/>
      <c r="BO223" s="1138"/>
      <c r="BP223" s="1138"/>
      <c r="BQ223" s="1138"/>
      <c r="BR223" s="1138"/>
      <c r="BS223" s="1138"/>
      <c r="BT223" s="1138"/>
      <c r="BU223" s="1138"/>
      <c r="BV223" s="1138"/>
      <c r="BW223" s="1138"/>
      <c r="BX223" s="1138"/>
      <c r="BY223" s="1138"/>
      <c r="BZ223" s="1138"/>
      <c r="CA223" s="1138"/>
      <c r="CB223" s="1138"/>
    </row>
    <row r="224" spans="2:80" x14ac:dyDescent="0.3">
      <c r="B224" s="269">
        <v>574</v>
      </c>
      <c r="D224" s="269" t="s">
        <v>602</v>
      </c>
      <c r="E224" s="1138"/>
      <c r="F224" s="1138"/>
      <c r="G224" s="1138"/>
      <c r="H224" s="1138"/>
      <c r="I224" s="1138"/>
      <c r="J224" s="1138"/>
      <c r="K224" s="1138"/>
      <c r="L224" s="1138"/>
      <c r="M224" s="1138"/>
      <c r="N224" s="1138"/>
      <c r="O224" s="1138"/>
      <c r="P224" s="1138"/>
      <c r="Q224" s="1138"/>
      <c r="R224" s="1138"/>
      <c r="S224" s="1138"/>
      <c r="T224" s="1138"/>
      <c r="U224" s="1138"/>
      <c r="V224" s="1138"/>
      <c r="W224" s="1138"/>
      <c r="X224" s="1138"/>
      <c r="Y224" s="1138"/>
      <c r="Z224" s="1138"/>
      <c r="AA224" s="1138"/>
      <c r="AB224" s="1138"/>
      <c r="AC224" s="1138"/>
      <c r="AD224" s="1138"/>
      <c r="AE224" s="1138"/>
      <c r="AF224" s="1138"/>
      <c r="AG224" s="1138"/>
      <c r="AH224" s="1138"/>
      <c r="AI224" s="1138"/>
      <c r="AJ224" s="1138"/>
      <c r="AK224" s="1138"/>
      <c r="AL224" s="1138"/>
      <c r="AM224" s="1138"/>
      <c r="AN224" s="1138"/>
      <c r="AO224" s="1138"/>
      <c r="AP224" s="1138"/>
      <c r="AQ224" s="1138"/>
      <c r="AR224" s="1138"/>
      <c r="AS224" s="1138"/>
      <c r="AT224" s="1138"/>
      <c r="AU224" s="1138"/>
      <c r="AV224" s="1138"/>
      <c r="AW224" s="1138"/>
      <c r="AX224" s="1138"/>
      <c r="AY224" s="1138"/>
      <c r="AZ224" s="1138"/>
      <c r="BA224" s="1138"/>
      <c r="BB224" s="1138"/>
      <c r="BC224" s="1138"/>
      <c r="BD224" s="1138"/>
      <c r="BE224" s="1138"/>
      <c r="BF224" s="1138"/>
      <c r="BG224" s="1138"/>
      <c r="BH224" s="1138"/>
      <c r="BI224" s="1138"/>
      <c r="BJ224" s="1138"/>
      <c r="BK224" s="1138"/>
      <c r="BL224" s="1138"/>
      <c r="BM224" s="1138"/>
      <c r="BN224" s="1138"/>
      <c r="BO224" s="1138"/>
      <c r="BP224" s="1138"/>
      <c r="BQ224" s="1138"/>
      <c r="BR224" s="1138"/>
      <c r="BS224" s="1138"/>
      <c r="BT224" s="1138"/>
      <c r="BU224" s="1138"/>
      <c r="BV224" s="1138"/>
      <c r="BW224" s="1138"/>
      <c r="BX224" s="1138"/>
      <c r="BY224" s="1138"/>
      <c r="BZ224" s="1138"/>
      <c r="CA224" s="1138"/>
      <c r="CB224" s="1138"/>
    </row>
    <row r="225" spans="1:80" x14ac:dyDescent="0.3">
      <c r="A225" s="269">
        <v>575</v>
      </c>
      <c r="B225" s="269">
        <v>575</v>
      </c>
      <c r="C225" s="269" t="s">
        <v>547</v>
      </c>
      <c r="D225" s="269" t="s">
        <v>643</v>
      </c>
      <c r="E225" s="1138">
        <v>0</v>
      </c>
      <c r="F225" s="1138">
        <v>0</v>
      </c>
      <c r="G225" s="1138">
        <v>0</v>
      </c>
      <c r="H225" s="1138">
        <v>0</v>
      </c>
      <c r="I225" s="1138">
        <v>0</v>
      </c>
      <c r="J225" s="1138">
        <v>27196</v>
      </c>
      <c r="K225" s="1138">
        <v>0</v>
      </c>
      <c r="L225" s="1138">
        <v>346676</v>
      </c>
      <c r="M225" s="1138">
        <v>0</v>
      </c>
      <c r="N225" s="1138">
        <v>0</v>
      </c>
      <c r="O225" s="1138">
        <v>0</v>
      </c>
      <c r="P225" s="1138">
        <v>0</v>
      </c>
      <c r="Q225" s="1138">
        <v>0</v>
      </c>
      <c r="R225" s="1138">
        <v>0</v>
      </c>
      <c r="S225" s="1138">
        <v>0</v>
      </c>
      <c r="T225" s="1138">
        <v>0</v>
      </c>
      <c r="U225" s="1138">
        <v>0</v>
      </c>
      <c r="V225" s="1138">
        <v>0</v>
      </c>
      <c r="W225" s="1138">
        <v>0</v>
      </c>
      <c r="X225" s="1138">
        <v>0</v>
      </c>
      <c r="Y225" s="1138">
        <v>0</v>
      </c>
      <c r="Z225" s="1138">
        <v>0</v>
      </c>
      <c r="AA225" s="1138">
        <v>0</v>
      </c>
      <c r="AB225" s="1138">
        <v>672371</v>
      </c>
      <c r="AC225" s="1138">
        <v>0</v>
      </c>
      <c r="AD225" s="1138">
        <v>0</v>
      </c>
      <c r="AE225" s="1138">
        <v>10382</v>
      </c>
      <c r="AF225" s="1138">
        <v>0</v>
      </c>
      <c r="AG225" s="1138">
        <v>0</v>
      </c>
      <c r="AH225" s="1138">
        <v>0</v>
      </c>
      <c r="AI225" s="1138">
        <v>0</v>
      </c>
      <c r="AJ225" s="1138">
        <v>1550</v>
      </c>
      <c r="AK225" s="1138">
        <v>0</v>
      </c>
      <c r="AL225" s="1138">
        <v>0</v>
      </c>
      <c r="AM225" s="1138">
        <v>0</v>
      </c>
      <c r="AN225" s="1138">
        <v>974137</v>
      </c>
      <c r="AO225" s="1138">
        <v>0</v>
      </c>
      <c r="AP225" s="1138">
        <v>0</v>
      </c>
      <c r="AQ225" s="1138">
        <v>0</v>
      </c>
      <c r="AR225" s="1138">
        <v>0</v>
      </c>
      <c r="AS225" s="1138">
        <v>0</v>
      </c>
      <c r="AT225" s="1138">
        <v>0</v>
      </c>
      <c r="AU225" s="1138">
        <v>0</v>
      </c>
      <c r="AV225" s="1138">
        <v>0</v>
      </c>
      <c r="AW225" s="1138">
        <v>0</v>
      </c>
      <c r="AX225" s="1138">
        <v>0</v>
      </c>
      <c r="AY225" s="1138">
        <v>0</v>
      </c>
      <c r="AZ225" s="1138">
        <v>0</v>
      </c>
      <c r="BA225" s="1138">
        <v>50000</v>
      </c>
      <c r="BB225" s="1138">
        <v>0</v>
      </c>
      <c r="BC225" s="1138">
        <v>0</v>
      </c>
      <c r="BD225" s="1138">
        <v>0</v>
      </c>
      <c r="BE225" s="1138">
        <v>0</v>
      </c>
      <c r="BF225" s="1138">
        <v>0</v>
      </c>
      <c r="BG225" s="1138">
        <v>0</v>
      </c>
      <c r="BH225" s="1138">
        <v>0</v>
      </c>
      <c r="BI225" s="1138">
        <v>0</v>
      </c>
      <c r="BJ225" s="1138">
        <v>0</v>
      </c>
      <c r="BK225" s="1138">
        <v>0</v>
      </c>
      <c r="BL225" s="1138">
        <v>0</v>
      </c>
      <c r="BM225" s="1138">
        <v>0</v>
      </c>
      <c r="BN225" s="1138">
        <v>0</v>
      </c>
      <c r="BO225" s="1138">
        <v>59065</v>
      </c>
      <c r="BP225" s="1138">
        <v>0</v>
      </c>
      <c r="BQ225" s="1138">
        <v>0</v>
      </c>
      <c r="BR225" s="1138">
        <v>0</v>
      </c>
      <c r="BS225" s="1138">
        <v>0</v>
      </c>
      <c r="BT225" s="1138">
        <v>0</v>
      </c>
      <c r="BU225" s="1138">
        <v>0</v>
      </c>
      <c r="BV225" s="1138">
        <v>251671</v>
      </c>
      <c r="BW225" s="1138">
        <v>0</v>
      </c>
      <c r="BX225" s="1138">
        <v>22434</v>
      </c>
      <c r="BY225" s="1138">
        <v>0</v>
      </c>
      <c r="BZ225" s="1138">
        <v>0</v>
      </c>
      <c r="CA225" s="1138">
        <v>0</v>
      </c>
      <c r="CB225" s="1138">
        <v>0</v>
      </c>
    </row>
    <row r="226" spans="1:80" x14ac:dyDescent="0.3">
      <c r="A226" s="269">
        <v>576</v>
      </c>
      <c r="B226" s="269">
        <v>576</v>
      </c>
      <c r="C226" s="269" t="s">
        <v>548</v>
      </c>
      <c r="D226" s="269" t="s">
        <v>644</v>
      </c>
      <c r="E226" s="1138">
        <v>0</v>
      </c>
      <c r="F226" s="1138">
        <v>0</v>
      </c>
      <c r="G226" s="1138">
        <v>0</v>
      </c>
      <c r="H226" s="1138">
        <v>4892171</v>
      </c>
      <c r="I226" s="1138">
        <v>0</v>
      </c>
      <c r="J226" s="1138">
        <v>0</v>
      </c>
      <c r="K226" s="1138">
        <v>0</v>
      </c>
      <c r="L226" s="1138">
        <v>0</v>
      </c>
      <c r="M226" s="1138">
        <v>0</v>
      </c>
      <c r="N226" s="1138">
        <v>0</v>
      </c>
      <c r="O226" s="1138">
        <v>0</v>
      </c>
      <c r="P226" s="1138">
        <v>0</v>
      </c>
      <c r="Q226" s="1138">
        <v>0</v>
      </c>
      <c r="R226" s="1138">
        <v>0</v>
      </c>
      <c r="S226" s="1138">
        <v>0</v>
      </c>
      <c r="T226" s="1138">
        <v>0</v>
      </c>
      <c r="U226" s="1138">
        <v>0</v>
      </c>
      <c r="V226" s="1138">
        <v>0</v>
      </c>
      <c r="W226" s="1138">
        <v>0</v>
      </c>
      <c r="X226" s="1138">
        <v>0</v>
      </c>
      <c r="Y226" s="1138">
        <v>0</v>
      </c>
      <c r="Z226" s="1138">
        <v>0</v>
      </c>
      <c r="AA226" s="1138">
        <v>30714</v>
      </c>
      <c r="AB226" s="1138">
        <v>0</v>
      </c>
      <c r="AC226" s="1138">
        <v>0</v>
      </c>
      <c r="AD226" s="1138">
        <v>16151</v>
      </c>
      <c r="AE226" s="1138">
        <v>0</v>
      </c>
      <c r="AF226" s="1138">
        <v>57166</v>
      </c>
      <c r="AG226" s="1138">
        <v>0</v>
      </c>
      <c r="AH226" s="1138">
        <v>0</v>
      </c>
      <c r="AI226" s="1138">
        <v>0</v>
      </c>
      <c r="AJ226" s="1138">
        <v>0</v>
      </c>
      <c r="AK226" s="1138">
        <v>0</v>
      </c>
      <c r="AL226" s="1138">
        <v>1765</v>
      </c>
      <c r="AM226" s="1138">
        <v>0</v>
      </c>
      <c r="AN226" s="1138">
        <v>0</v>
      </c>
      <c r="AO226" s="1138">
        <v>0</v>
      </c>
      <c r="AP226" s="1138">
        <v>0</v>
      </c>
      <c r="AQ226" s="1138">
        <v>0</v>
      </c>
      <c r="AR226" s="1138">
        <v>3212679</v>
      </c>
      <c r="AS226" s="1138">
        <v>0</v>
      </c>
      <c r="AT226" s="1138">
        <v>0</v>
      </c>
      <c r="AU226" s="1138">
        <v>0</v>
      </c>
      <c r="AV226" s="1138">
        <v>1015000</v>
      </c>
      <c r="AW226" s="1138">
        <v>41041</v>
      </c>
      <c r="AX226" s="1138">
        <v>0</v>
      </c>
      <c r="AY226" s="1138">
        <v>0</v>
      </c>
      <c r="AZ226" s="1138">
        <v>18084</v>
      </c>
      <c r="BA226" s="1138">
        <v>0</v>
      </c>
      <c r="BB226" s="1138">
        <v>0</v>
      </c>
      <c r="BC226" s="1138">
        <v>0</v>
      </c>
      <c r="BD226" s="1138">
        <v>0</v>
      </c>
      <c r="BE226" s="1138">
        <v>0</v>
      </c>
      <c r="BF226" s="1138">
        <v>0</v>
      </c>
      <c r="BG226" s="1138">
        <v>0</v>
      </c>
      <c r="BH226" s="1138">
        <v>0</v>
      </c>
      <c r="BI226" s="1138">
        <v>0</v>
      </c>
      <c r="BJ226" s="1138">
        <v>0</v>
      </c>
      <c r="BK226" s="1138">
        <v>0</v>
      </c>
      <c r="BL226" s="1138">
        <v>0</v>
      </c>
      <c r="BM226" s="1138">
        <v>0</v>
      </c>
      <c r="BN226" s="1138">
        <v>0</v>
      </c>
      <c r="BO226" s="1138">
        <v>0</v>
      </c>
      <c r="BP226" s="1138">
        <v>700429</v>
      </c>
      <c r="BQ226" s="1138">
        <v>0</v>
      </c>
      <c r="BR226" s="1138">
        <v>0</v>
      </c>
      <c r="BS226" s="1138">
        <v>0</v>
      </c>
      <c r="BT226" s="1138">
        <v>0</v>
      </c>
      <c r="BU226" s="1138">
        <v>60000</v>
      </c>
      <c r="BV226" s="1138">
        <v>0</v>
      </c>
      <c r="BW226" s="1138">
        <v>0</v>
      </c>
      <c r="BX226" s="1138">
        <v>0</v>
      </c>
      <c r="BY226" s="1138">
        <v>0</v>
      </c>
      <c r="BZ226" s="1138">
        <v>0</v>
      </c>
      <c r="CA226" s="1138">
        <v>0</v>
      </c>
      <c r="CB226" s="1138">
        <v>0</v>
      </c>
    </row>
    <row r="227" spans="1:80" x14ac:dyDescent="0.3">
      <c r="A227" s="269">
        <v>577</v>
      </c>
      <c r="B227" s="269">
        <v>577</v>
      </c>
      <c r="C227" s="269" t="s">
        <v>645</v>
      </c>
      <c r="D227" s="269" t="s">
        <v>646</v>
      </c>
      <c r="E227" s="1138">
        <v>2</v>
      </c>
      <c r="F227" s="1138">
        <v>2</v>
      </c>
      <c r="G227" s="1138">
        <v>0</v>
      </c>
      <c r="H227" s="1138">
        <v>2</v>
      </c>
      <c r="I227" s="1138">
        <v>2</v>
      </c>
      <c r="J227" s="1138">
        <v>2</v>
      </c>
      <c r="K227" s="1138">
        <v>2</v>
      </c>
      <c r="L227" s="1138">
        <v>2</v>
      </c>
      <c r="M227" s="1138">
        <v>2</v>
      </c>
      <c r="N227" s="1138">
        <v>2</v>
      </c>
      <c r="O227" s="1138">
        <v>2</v>
      </c>
      <c r="P227" s="1138">
        <v>2</v>
      </c>
      <c r="Q227" s="1138">
        <v>2</v>
      </c>
      <c r="R227" s="1138">
        <v>2</v>
      </c>
      <c r="S227" s="1138">
        <v>2</v>
      </c>
      <c r="T227" s="1138">
        <v>2</v>
      </c>
      <c r="U227" s="1138">
        <v>0</v>
      </c>
      <c r="V227" s="1138">
        <v>2</v>
      </c>
      <c r="W227" s="1138">
        <v>2</v>
      </c>
      <c r="X227" s="1138">
        <v>2</v>
      </c>
      <c r="Y227" s="1138">
        <v>0</v>
      </c>
      <c r="Z227" s="1138">
        <v>2</v>
      </c>
      <c r="AA227" s="1138">
        <v>2</v>
      </c>
      <c r="AB227" s="1138">
        <v>2</v>
      </c>
      <c r="AC227" s="1138">
        <v>0</v>
      </c>
      <c r="AD227" s="1138">
        <v>0</v>
      </c>
      <c r="AE227" s="1138">
        <v>2</v>
      </c>
      <c r="AF227" s="1138">
        <v>2</v>
      </c>
      <c r="AG227" s="1138">
        <v>2</v>
      </c>
      <c r="AH227" s="1138">
        <v>0</v>
      </c>
      <c r="AI227" s="1138">
        <v>2</v>
      </c>
      <c r="AJ227" s="1138">
        <v>2</v>
      </c>
      <c r="AK227" s="1138">
        <v>0</v>
      </c>
      <c r="AL227" s="1138">
        <v>2</v>
      </c>
      <c r="AM227" s="1138">
        <v>0</v>
      </c>
      <c r="AN227" s="1138">
        <v>2</v>
      </c>
      <c r="AO227" s="1138">
        <v>2</v>
      </c>
      <c r="AP227" s="1138">
        <v>2</v>
      </c>
      <c r="AQ227" s="1138">
        <v>2</v>
      </c>
      <c r="AR227" s="1138">
        <v>2</v>
      </c>
      <c r="AS227" s="1138">
        <v>2</v>
      </c>
      <c r="AT227" s="1138">
        <v>2</v>
      </c>
      <c r="AU227" s="1138">
        <v>2</v>
      </c>
      <c r="AV227" s="1138">
        <v>2</v>
      </c>
      <c r="AW227" s="1138">
        <v>2</v>
      </c>
      <c r="AX227" s="1138">
        <v>2</v>
      </c>
      <c r="AY227" s="1138">
        <v>2</v>
      </c>
      <c r="AZ227" s="1138">
        <v>2</v>
      </c>
      <c r="BA227" s="1138">
        <v>0</v>
      </c>
      <c r="BB227" s="1138">
        <v>2</v>
      </c>
      <c r="BC227" s="1138">
        <v>0</v>
      </c>
      <c r="BD227" s="1138">
        <v>0</v>
      </c>
      <c r="BE227" s="1138">
        <v>0</v>
      </c>
      <c r="BF227" s="1138">
        <v>0</v>
      </c>
      <c r="BG227" s="1138">
        <v>2</v>
      </c>
      <c r="BH227" s="1138">
        <v>2</v>
      </c>
      <c r="BI227" s="1138">
        <v>2</v>
      </c>
      <c r="BJ227" s="1138">
        <v>2</v>
      </c>
      <c r="BK227" s="1138">
        <v>0</v>
      </c>
      <c r="BL227" s="1138">
        <v>2</v>
      </c>
      <c r="BM227" s="1138">
        <v>2</v>
      </c>
      <c r="BN227" s="1138">
        <v>2</v>
      </c>
      <c r="BO227" s="1138">
        <v>2</v>
      </c>
      <c r="BP227" s="1138">
        <v>2</v>
      </c>
      <c r="BQ227" s="1138">
        <v>2</v>
      </c>
      <c r="BR227" s="1138">
        <v>2</v>
      </c>
      <c r="BS227" s="1138">
        <v>2</v>
      </c>
      <c r="BT227" s="1138">
        <v>2</v>
      </c>
      <c r="BU227" s="1138">
        <v>2</v>
      </c>
      <c r="BV227" s="1138">
        <v>2</v>
      </c>
      <c r="BW227" s="1138">
        <v>2</v>
      </c>
      <c r="BX227" s="1138">
        <v>2</v>
      </c>
      <c r="BY227" s="1138">
        <v>2</v>
      </c>
      <c r="BZ227" s="1138">
        <v>2</v>
      </c>
      <c r="CA227" s="1138">
        <v>2</v>
      </c>
      <c r="CB227" s="1138">
        <v>2</v>
      </c>
    </row>
    <row r="228" spans="1:80" x14ac:dyDescent="0.3">
      <c r="A228" s="269">
        <v>578</v>
      </c>
      <c r="B228" s="269">
        <v>578</v>
      </c>
      <c r="C228" s="269" t="s">
        <v>647</v>
      </c>
      <c r="D228" s="269" t="s">
        <v>648</v>
      </c>
      <c r="E228" s="1138">
        <v>0</v>
      </c>
      <c r="F228" s="1138">
        <v>0</v>
      </c>
      <c r="G228" s="1138">
        <v>0</v>
      </c>
      <c r="H228" s="1138">
        <v>0</v>
      </c>
      <c r="I228" s="1138">
        <v>0</v>
      </c>
      <c r="J228" s="1138">
        <v>0</v>
      </c>
      <c r="K228" s="1138">
        <v>0</v>
      </c>
      <c r="L228" s="1138">
        <v>346676</v>
      </c>
      <c r="M228" s="1138">
        <v>0</v>
      </c>
      <c r="N228" s="1138">
        <v>0</v>
      </c>
      <c r="O228" s="1138">
        <v>0</v>
      </c>
      <c r="P228" s="1138">
        <v>0</v>
      </c>
      <c r="Q228" s="1138">
        <v>0</v>
      </c>
      <c r="R228" s="1138">
        <v>0</v>
      </c>
      <c r="S228" s="1138">
        <v>0</v>
      </c>
      <c r="T228" s="1138">
        <v>0</v>
      </c>
      <c r="U228" s="1138">
        <v>0</v>
      </c>
      <c r="V228" s="1138">
        <v>0</v>
      </c>
      <c r="W228" s="1138">
        <v>0</v>
      </c>
      <c r="X228" s="1138">
        <v>0</v>
      </c>
      <c r="Y228" s="1138">
        <v>0</v>
      </c>
      <c r="Z228" s="1138">
        <v>0</v>
      </c>
      <c r="AA228" s="1138">
        <v>0</v>
      </c>
      <c r="AB228" s="1138">
        <v>212975</v>
      </c>
      <c r="AC228" s="1138">
        <v>0</v>
      </c>
      <c r="AD228" s="1138">
        <v>0</v>
      </c>
      <c r="AE228" s="1138">
        <v>0</v>
      </c>
      <c r="AF228" s="1138">
        <v>0</v>
      </c>
      <c r="AG228" s="1138">
        <v>0</v>
      </c>
      <c r="AH228" s="1138">
        <v>0</v>
      </c>
      <c r="AI228" s="1138">
        <v>0</v>
      </c>
      <c r="AJ228" s="1138">
        <v>0</v>
      </c>
      <c r="AK228" s="1138">
        <v>41817420</v>
      </c>
      <c r="AL228" s="1138">
        <v>0</v>
      </c>
      <c r="AM228" s="1138">
        <v>0</v>
      </c>
      <c r="AN228" s="1138">
        <v>0</v>
      </c>
      <c r="AO228" s="1138">
        <v>0</v>
      </c>
      <c r="AP228" s="1138">
        <v>0</v>
      </c>
      <c r="AQ228" s="1138">
        <v>0</v>
      </c>
      <c r="AR228" s="1138">
        <v>0</v>
      </c>
      <c r="AS228" s="1138">
        <v>0</v>
      </c>
      <c r="AT228" s="1138">
        <v>0</v>
      </c>
      <c r="AU228" s="1138">
        <v>0</v>
      </c>
      <c r="AV228" s="1138">
        <v>0</v>
      </c>
      <c r="AW228" s="1138">
        <v>0</v>
      </c>
      <c r="AX228" s="1138">
        <v>0</v>
      </c>
      <c r="AY228" s="1138">
        <v>0</v>
      </c>
      <c r="AZ228" s="1138">
        <v>0</v>
      </c>
      <c r="BA228" s="1138">
        <v>0</v>
      </c>
      <c r="BB228" s="1138">
        <v>0</v>
      </c>
      <c r="BC228" s="1138">
        <v>0</v>
      </c>
      <c r="BD228" s="1138">
        <v>0</v>
      </c>
      <c r="BE228" s="1138">
        <v>0</v>
      </c>
      <c r="BF228" s="1138">
        <v>0</v>
      </c>
      <c r="BG228" s="1138">
        <v>0</v>
      </c>
      <c r="BH228" s="1138">
        <v>0</v>
      </c>
      <c r="BI228" s="1138">
        <v>0</v>
      </c>
      <c r="BJ228" s="1138">
        <v>0</v>
      </c>
      <c r="BK228" s="1138">
        <v>0</v>
      </c>
      <c r="BL228" s="1138">
        <v>0</v>
      </c>
      <c r="BM228" s="1138">
        <v>0</v>
      </c>
      <c r="BN228" s="1138">
        <v>0</v>
      </c>
      <c r="BO228" s="1138">
        <v>0</v>
      </c>
      <c r="BP228" s="1138">
        <v>0</v>
      </c>
      <c r="BQ228" s="1138">
        <v>0</v>
      </c>
      <c r="BR228" s="1138">
        <v>0</v>
      </c>
      <c r="BS228" s="1138">
        <v>0</v>
      </c>
      <c r="BT228" s="1138">
        <v>0</v>
      </c>
      <c r="BU228" s="1138">
        <v>0</v>
      </c>
      <c r="BV228" s="1138">
        <v>0</v>
      </c>
      <c r="BW228" s="1138">
        <v>0</v>
      </c>
      <c r="BX228" s="1138">
        <v>0</v>
      </c>
      <c r="BY228" s="1138">
        <v>0</v>
      </c>
      <c r="BZ228" s="1138">
        <v>0</v>
      </c>
      <c r="CA228" s="1138">
        <v>0</v>
      </c>
      <c r="CB228" s="1138">
        <v>0</v>
      </c>
    </row>
    <row r="229" spans="1:80" x14ac:dyDescent="0.3">
      <c r="A229" s="269">
        <v>579</v>
      </c>
      <c r="B229" s="269">
        <v>579</v>
      </c>
      <c r="C229" s="269" t="s">
        <v>649</v>
      </c>
      <c r="D229" s="269" t="s">
        <v>650</v>
      </c>
      <c r="E229" s="1138">
        <v>0</v>
      </c>
      <c r="F229" s="1138">
        <v>0</v>
      </c>
      <c r="G229" s="1138">
        <v>0</v>
      </c>
      <c r="H229" s="1138">
        <v>0</v>
      </c>
      <c r="I229" s="1138">
        <v>0</v>
      </c>
      <c r="J229" s="1138">
        <v>0</v>
      </c>
      <c r="K229" s="1138">
        <v>0</v>
      </c>
      <c r="L229" s="1138">
        <v>0</v>
      </c>
      <c r="M229" s="1138">
        <v>0</v>
      </c>
      <c r="N229" s="1138">
        <v>0</v>
      </c>
      <c r="O229" s="1138">
        <v>0</v>
      </c>
      <c r="P229" s="1138">
        <v>0</v>
      </c>
      <c r="Q229" s="1138">
        <v>0</v>
      </c>
      <c r="R229" s="1138">
        <v>0</v>
      </c>
      <c r="S229" s="1138">
        <v>0</v>
      </c>
      <c r="T229" s="1138">
        <v>0</v>
      </c>
      <c r="U229" s="1138">
        <v>0</v>
      </c>
      <c r="V229" s="1138">
        <v>0</v>
      </c>
      <c r="W229" s="1138">
        <v>0</v>
      </c>
      <c r="X229" s="1138">
        <v>0</v>
      </c>
      <c r="Y229" s="1138">
        <v>0</v>
      </c>
      <c r="Z229" s="1138">
        <v>0</v>
      </c>
      <c r="AA229" s="1138">
        <v>0</v>
      </c>
      <c r="AB229" s="1138">
        <v>0</v>
      </c>
      <c r="AC229" s="1138">
        <v>0</v>
      </c>
      <c r="AD229" s="1138">
        <v>0</v>
      </c>
      <c r="AE229" s="1138">
        <v>0</v>
      </c>
      <c r="AF229" s="1138">
        <v>129986</v>
      </c>
      <c r="AG229" s="1138">
        <v>0</v>
      </c>
      <c r="AH229" s="1138">
        <v>0</v>
      </c>
      <c r="AI229" s="1138">
        <v>0</v>
      </c>
      <c r="AJ229" s="1138">
        <v>0</v>
      </c>
      <c r="AK229" s="1138">
        <v>0</v>
      </c>
      <c r="AL229" s="1138">
        <v>0</v>
      </c>
      <c r="AM229" s="1138">
        <v>0</v>
      </c>
      <c r="AN229" s="1138">
        <v>0</v>
      </c>
      <c r="AO229" s="1138">
        <v>0</v>
      </c>
      <c r="AP229" s="1138">
        <v>0</v>
      </c>
      <c r="AQ229" s="1138">
        <v>0</v>
      </c>
      <c r="AR229" s="1138">
        <v>0</v>
      </c>
      <c r="AS229" s="1138">
        <v>0</v>
      </c>
      <c r="AT229" s="1138">
        <v>0</v>
      </c>
      <c r="AU229" s="1138">
        <v>0</v>
      </c>
      <c r="AV229" s="1138">
        <v>0</v>
      </c>
      <c r="AW229" s="1138">
        <v>0</v>
      </c>
      <c r="AX229" s="1138">
        <v>0</v>
      </c>
      <c r="AY229" s="1138">
        <v>0</v>
      </c>
      <c r="AZ229" s="1138">
        <v>18084</v>
      </c>
      <c r="BA229" s="1138">
        <v>0</v>
      </c>
      <c r="BB229" s="1138">
        <v>0</v>
      </c>
      <c r="BC229" s="1138">
        <v>0</v>
      </c>
      <c r="BD229" s="1138">
        <v>0</v>
      </c>
      <c r="BE229" s="1138">
        <v>0</v>
      </c>
      <c r="BF229" s="1138">
        <v>0</v>
      </c>
      <c r="BG229" s="1138">
        <v>0</v>
      </c>
      <c r="BH229" s="1138">
        <v>0</v>
      </c>
      <c r="BI229" s="1138">
        <v>0</v>
      </c>
      <c r="BJ229" s="1138">
        <v>0</v>
      </c>
      <c r="BK229" s="1138">
        <v>0</v>
      </c>
      <c r="BL229" s="1138">
        <v>0</v>
      </c>
      <c r="BM229" s="1138">
        <v>0</v>
      </c>
      <c r="BN229" s="1138">
        <v>0</v>
      </c>
      <c r="BO229" s="1138">
        <v>0</v>
      </c>
      <c r="BP229" s="1138">
        <v>0</v>
      </c>
      <c r="BQ229" s="1138">
        <v>0</v>
      </c>
      <c r="BR229" s="1138">
        <v>0</v>
      </c>
      <c r="BS229" s="1138">
        <v>0</v>
      </c>
      <c r="BT229" s="1138">
        <v>0</v>
      </c>
      <c r="BU229" s="1138">
        <v>0</v>
      </c>
      <c r="BV229" s="1138">
        <v>0</v>
      </c>
      <c r="BW229" s="1138">
        <v>0</v>
      </c>
      <c r="BX229" s="1138">
        <v>0</v>
      </c>
      <c r="BY229" s="1138">
        <v>0</v>
      </c>
      <c r="BZ229" s="1138">
        <v>0</v>
      </c>
      <c r="CA229" s="1138">
        <v>0</v>
      </c>
      <c r="CB229" s="1138">
        <v>0</v>
      </c>
    </row>
    <row r="230" spans="1:80" x14ac:dyDescent="0.3">
      <c r="A230" s="269">
        <v>580</v>
      </c>
      <c r="B230" s="269">
        <v>580</v>
      </c>
      <c r="C230" s="269" t="s">
        <v>651</v>
      </c>
      <c r="D230" s="269" t="s">
        <v>652</v>
      </c>
      <c r="E230" s="1138">
        <v>0</v>
      </c>
      <c r="F230" s="1138">
        <v>0</v>
      </c>
      <c r="G230" s="1138">
        <v>0</v>
      </c>
      <c r="H230" s="1138">
        <v>0</v>
      </c>
      <c r="I230" s="1138">
        <v>0</v>
      </c>
      <c r="J230" s="1138">
        <v>0</v>
      </c>
      <c r="K230" s="1138">
        <v>0</v>
      </c>
      <c r="L230" s="1138">
        <v>0</v>
      </c>
      <c r="M230" s="1138">
        <v>0</v>
      </c>
      <c r="N230" s="1138">
        <v>0</v>
      </c>
      <c r="O230" s="1138">
        <v>0</v>
      </c>
      <c r="P230" s="1138">
        <v>0</v>
      </c>
      <c r="Q230" s="1138">
        <v>0</v>
      </c>
      <c r="R230" s="1138">
        <v>0</v>
      </c>
      <c r="S230" s="1138">
        <v>0</v>
      </c>
      <c r="T230" s="1138">
        <v>0</v>
      </c>
      <c r="U230" s="1138">
        <v>0</v>
      </c>
      <c r="V230" s="1138">
        <v>0</v>
      </c>
      <c r="W230" s="1138">
        <v>0</v>
      </c>
      <c r="X230" s="1138">
        <v>0</v>
      </c>
      <c r="Y230" s="1138">
        <v>0</v>
      </c>
      <c r="Z230" s="1138">
        <v>0</v>
      </c>
      <c r="AA230" s="1138">
        <v>0</v>
      </c>
      <c r="AB230" s="1138">
        <v>0</v>
      </c>
      <c r="AC230" s="1138">
        <v>0</v>
      </c>
      <c r="AD230" s="1138">
        <v>0</v>
      </c>
      <c r="AE230" s="1138">
        <v>0</v>
      </c>
      <c r="AF230" s="1138">
        <v>72820</v>
      </c>
      <c r="AG230" s="1138">
        <v>0</v>
      </c>
      <c r="AH230" s="1138">
        <v>0</v>
      </c>
      <c r="AI230" s="1138">
        <v>0</v>
      </c>
      <c r="AJ230" s="1138">
        <v>0</v>
      </c>
      <c r="AK230" s="1138">
        <v>0</v>
      </c>
      <c r="AL230" s="1138">
        <v>0</v>
      </c>
      <c r="AM230" s="1138">
        <v>0</v>
      </c>
      <c r="AN230" s="1138">
        <v>0</v>
      </c>
      <c r="AO230" s="1138">
        <v>0</v>
      </c>
      <c r="AP230" s="1138">
        <v>0</v>
      </c>
      <c r="AQ230" s="1138">
        <v>0</v>
      </c>
      <c r="AR230" s="1138">
        <v>0</v>
      </c>
      <c r="AS230" s="1138">
        <v>0</v>
      </c>
      <c r="AT230" s="1138">
        <v>0</v>
      </c>
      <c r="AU230" s="1138">
        <v>0</v>
      </c>
      <c r="AV230" s="1138">
        <v>0</v>
      </c>
      <c r="AW230" s="1138">
        <v>0</v>
      </c>
      <c r="AX230" s="1138">
        <v>0</v>
      </c>
      <c r="AY230" s="1138">
        <v>0</v>
      </c>
      <c r="AZ230" s="1138">
        <v>0</v>
      </c>
      <c r="BA230" s="1138">
        <v>0</v>
      </c>
      <c r="BB230" s="1138">
        <v>0</v>
      </c>
      <c r="BC230" s="1138">
        <v>0</v>
      </c>
      <c r="BD230" s="1138">
        <v>0</v>
      </c>
      <c r="BE230" s="1138">
        <v>0</v>
      </c>
      <c r="BF230" s="1138">
        <v>0</v>
      </c>
      <c r="BG230" s="1138">
        <v>0</v>
      </c>
      <c r="BH230" s="1138">
        <v>0</v>
      </c>
      <c r="BI230" s="1138">
        <v>0</v>
      </c>
      <c r="BJ230" s="1138">
        <v>0</v>
      </c>
      <c r="BK230" s="1138">
        <v>0</v>
      </c>
      <c r="BL230" s="1138">
        <v>0</v>
      </c>
      <c r="BM230" s="1138">
        <v>0</v>
      </c>
      <c r="BN230" s="1138">
        <v>0</v>
      </c>
      <c r="BO230" s="1138">
        <v>0</v>
      </c>
      <c r="BP230" s="1138">
        <v>0</v>
      </c>
      <c r="BQ230" s="1138">
        <v>0</v>
      </c>
      <c r="BR230" s="1138">
        <v>0</v>
      </c>
      <c r="BS230" s="1138">
        <v>0</v>
      </c>
      <c r="BT230" s="1138">
        <v>0</v>
      </c>
      <c r="BU230" s="1138">
        <v>0</v>
      </c>
      <c r="BV230" s="1138">
        <v>0</v>
      </c>
      <c r="BW230" s="1138">
        <v>0</v>
      </c>
      <c r="BX230" s="1138">
        <v>0</v>
      </c>
      <c r="BY230" s="1138">
        <v>0</v>
      </c>
      <c r="BZ230" s="1138">
        <v>0</v>
      </c>
      <c r="CA230" s="1138">
        <v>0</v>
      </c>
      <c r="CB230" s="1138">
        <v>0</v>
      </c>
    </row>
    <row r="231" spans="1:80" x14ac:dyDescent="0.3">
      <c r="A231" s="269">
        <v>581</v>
      </c>
      <c r="B231" s="269">
        <v>581</v>
      </c>
      <c r="C231" s="269" t="s">
        <v>653</v>
      </c>
      <c r="D231" s="269" t="s">
        <v>654</v>
      </c>
      <c r="E231" s="1138">
        <v>0</v>
      </c>
      <c r="F231" s="1138">
        <v>0</v>
      </c>
      <c r="G231" s="1138">
        <v>0</v>
      </c>
      <c r="H231" s="1138">
        <v>0</v>
      </c>
      <c r="I231" s="1138">
        <v>0</v>
      </c>
      <c r="J231" s="1138">
        <v>0</v>
      </c>
      <c r="K231" s="1138">
        <v>0</v>
      </c>
      <c r="L231" s="1138">
        <v>0</v>
      </c>
      <c r="M231" s="1138">
        <v>0</v>
      </c>
      <c r="N231" s="1138">
        <v>0</v>
      </c>
      <c r="O231" s="1138">
        <v>0</v>
      </c>
      <c r="P231" s="1138">
        <v>0</v>
      </c>
      <c r="Q231" s="1138">
        <v>0</v>
      </c>
      <c r="R231" s="1138">
        <v>0</v>
      </c>
      <c r="S231" s="1138">
        <v>0</v>
      </c>
      <c r="T231" s="1138">
        <v>0</v>
      </c>
      <c r="U231" s="1138">
        <v>0</v>
      </c>
      <c r="V231" s="1138">
        <v>0</v>
      </c>
      <c r="W231" s="1138">
        <v>0</v>
      </c>
      <c r="X231" s="1138">
        <v>0</v>
      </c>
      <c r="Y231" s="1138">
        <v>0</v>
      </c>
      <c r="Z231" s="1138">
        <v>0</v>
      </c>
      <c r="AA231" s="1138">
        <v>0</v>
      </c>
      <c r="AB231" s="1138">
        <v>0</v>
      </c>
      <c r="AC231" s="1138">
        <v>0</v>
      </c>
      <c r="AD231" s="1138">
        <v>0</v>
      </c>
      <c r="AE231" s="1138">
        <v>0</v>
      </c>
      <c r="AF231" s="1138">
        <v>0</v>
      </c>
      <c r="AG231" s="1138">
        <v>0</v>
      </c>
      <c r="AH231" s="1138">
        <v>0</v>
      </c>
      <c r="AI231" s="1138">
        <v>0</v>
      </c>
      <c r="AJ231" s="1138">
        <v>0</v>
      </c>
      <c r="AK231" s="1138">
        <v>0</v>
      </c>
      <c r="AL231" s="1138">
        <v>0</v>
      </c>
      <c r="AM231" s="1138">
        <v>0</v>
      </c>
      <c r="AN231" s="1138">
        <v>0</v>
      </c>
      <c r="AO231" s="1138">
        <v>0</v>
      </c>
      <c r="AP231" s="1138">
        <v>0</v>
      </c>
      <c r="AQ231" s="1138">
        <v>0</v>
      </c>
      <c r="AR231" s="1138">
        <v>0</v>
      </c>
      <c r="AS231" s="1138">
        <v>0</v>
      </c>
      <c r="AT231" s="1138">
        <v>0</v>
      </c>
      <c r="AU231" s="1138">
        <v>0</v>
      </c>
      <c r="AV231" s="1138">
        <v>940056</v>
      </c>
      <c r="AW231" s="1138">
        <v>0</v>
      </c>
      <c r="AX231" s="1138">
        <v>0</v>
      </c>
      <c r="AY231" s="1138">
        <v>0</v>
      </c>
      <c r="AZ231" s="1138">
        <v>0</v>
      </c>
      <c r="BA231" s="1138">
        <v>0</v>
      </c>
      <c r="BB231" s="1138">
        <v>0</v>
      </c>
      <c r="BC231" s="1138">
        <v>0</v>
      </c>
      <c r="BD231" s="1138">
        <v>0</v>
      </c>
      <c r="BE231" s="1138">
        <v>0</v>
      </c>
      <c r="BF231" s="1138">
        <v>0</v>
      </c>
      <c r="BG231" s="1138">
        <v>0</v>
      </c>
      <c r="BH231" s="1138">
        <v>0</v>
      </c>
      <c r="BI231" s="1138">
        <v>0</v>
      </c>
      <c r="BJ231" s="1138">
        <v>0</v>
      </c>
      <c r="BK231" s="1138">
        <v>0</v>
      </c>
      <c r="BL231" s="1138">
        <v>0</v>
      </c>
      <c r="BM231" s="1138">
        <v>0</v>
      </c>
      <c r="BN231" s="1138">
        <v>0</v>
      </c>
      <c r="BO231" s="1138">
        <v>0</v>
      </c>
      <c r="BP231" s="1138">
        <v>0</v>
      </c>
      <c r="BQ231" s="1138">
        <v>0</v>
      </c>
      <c r="BR231" s="1138">
        <v>0</v>
      </c>
      <c r="BS231" s="1138">
        <v>0</v>
      </c>
      <c r="BT231" s="1138">
        <v>0</v>
      </c>
      <c r="BU231" s="1138">
        <v>0</v>
      </c>
      <c r="BV231" s="1138">
        <v>0</v>
      </c>
      <c r="BW231" s="1138">
        <v>0</v>
      </c>
      <c r="BX231" s="1138">
        <v>0</v>
      </c>
      <c r="BY231" s="1138">
        <v>0</v>
      </c>
      <c r="BZ231" s="1138">
        <v>0</v>
      </c>
      <c r="CA231" s="1138">
        <v>0</v>
      </c>
      <c r="CB231" s="1138">
        <v>0</v>
      </c>
    </row>
    <row r="232" spans="1:80" x14ac:dyDescent="0.3">
      <c r="B232" s="269">
        <v>582</v>
      </c>
      <c r="C232" s="269" t="s">
        <v>655</v>
      </c>
      <c r="D232" s="269" t="s">
        <v>656</v>
      </c>
      <c r="E232" s="1138"/>
      <c r="F232" s="1138"/>
      <c r="G232" s="1138"/>
      <c r="H232" s="1138"/>
      <c r="I232" s="1138"/>
      <c r="J232" s="1138"/>
      <c r="K232" s="1138"/>
      <c r="L232" s="1138"/>
      <c r="M232" s="1138"/>
      <c r="N232" s="1138"/>
      <c r="O232" s="1138"/>
      <c r="P232" s="1138"/>
      <c r="Q232" s="1138"/>
      <c r="R232" s="1138"/>
      <c r="S232" s="1138"/>
      <c r="T232" s="1138"/>
      <c r="U232" s="1138"/>
      <c r="V232" s="1138"/>
      <c r="W232" s="1138"/>
      <c r="X232" s="1138"/>
      <c r="Y232" s="1138"/>
      <c r="Z232" s="1138"/>
      <c r="AA232" s="1138"/>
      <c r="AB232" s="1138"/>
      <c r="AC232" s="1138"/>
      <c r="AD232" s="1138"/>
      <c r="AE232" s="1138"/>
      <c r="AF232" s="1138"/>
      <c r="AG232" s="1138"/>
      <c r="AH232" s="1138"/>
      <c r="AI232" s="1138"/>
      <c r="AJ232" s="1138"/>
      <c r="AK232" s="1138"/>
      <c r="AL232" s="1138"/>
      <c r="AM232" s="1138"/>
      <c r="AN232" s="1138"/>
      <c r="AO232" s="1138"/>
      <c r="AP232" s="1138"/>
      <c r="AQ232" s="1138"/>
      <c r="AR232" s="1138"/>
      <c r="AS232" s="1138"/>
      <c r="AT232" s="1138"/>
      <c r="AU232" s="1138"/>
      <c r="AV232" s="1138"/>
      <c r="AW232" s="1138"/>
      <c r="AX232" s="1138"/>
      <c r="AY232" s="1138"/>
      <c r="AZ232" s="1138"/>
      <c r="BA232" s="1138"/>
      <c r="BB232" s="1138"/>
      <c r="BC232" s="1138"/>
      <c r="BD232" s="1138"/>
      <c r="BE232" s="1138"/>
      <c r="BF232" s="1138"/>
      <c r="BG232" s="1138"/>
      <c r="BH232" s="1138"/>
      <c r="BI232" s="1138"/>
      <c r="BJ232" s="1138"/>
      <c r="BK232" s="1138"/>
      <c r="BL232" s="1138"/>
      <c r="BM232" s="1138"/>
      <c r="BN232" s="1138"/>
      <c r="BO232" s="1138"/>
      <c r="BP232" s="1138"/>
      <c r="BQ232" s="1138"/>
      <c r="BR232" s="1138"/>
      <c r="BS232" s="1138"/>
      <c r="BT232" s="1138"/>
      <c r="BU232" s="1138"/>
      <c r="BV232" s="1138"/>
      <c r="BW232" s="1138"/>
      <c r="BX232" s="1138"/>
      <c r="BY232" s="1138"/>
      <c r="BZ232" s="1138"/>
      <c r="CA232" s="1138"/>
      <c r="CB232" s="1138"/>
    </row>
    <row r="233" spans="1:80" x14ac:dyDescent="0.3">
      <c r="B233" s="269">
        <v>583</v>
      </c>
      <c r="C233" s="269" t="s">
        <v>657</v>
      </c>
      <c r="D233" s="269" t="s">
        <v>658</v>
      </c>
      <c r="E233" s="1138"/>
      <c r="F233" s="1138"/>
      <c r="G233" s="1138"/>
      <c r="H233" s="1138"/>
      <c r="I233" s="1138"/>
      <c r="J233" s="1138"/>
      <c r="K233" s="1138"/>
      <c r="L233" s="1138"/>
      <c r="M233" s="1138"/>
      <c r="N233" s="1138"/>
      <c r="O233" s="1138"/>
      <c r="P233" s="1138"/>
      <c r="Q233" s="1138"/>
      <c r="R233" s="1138"/>
      <c r="S233" s="1138"/>
      <c r="T233" s="1138"/>
      <c r="U233" s="1138"/>
      <c r="V233" s="1138"/>
      <c r="W233" s="1138"/>
      <c r="X233" s="1138"/>
      <c r="Y233" s="1138"/>
      <c r="Z233" s="1138"/>
      <c r="AA233" s="1138"/>
      <c r="AB233" s="1138"/>
      <c r="AC233" s="1138"/>
      <c r="AD233" s="1138"/>
      <c r="AE233" s="1138"/>
      <c r="AF233" s="1138"/>
      <c r="AG233" s="1138"/>
      <c r="AH233" s="1138"/>
      <c r="AI233" s="1138"/>
      <c r="AJ233" s="1138"/>
      <c r="AK233" s="1138"/>
      <c r="AL233" s="1138"/>
      <c r="AM233" s="1138"/>
      <c r="AN233" s="1138"/>
      <c r="AO233" s="1138"/>
      <c r="AP233" s="1138"/>
      <c r="AQ233" s="1138"/>
      <c r="AR233" s="1138"/>
      <c r="AS233" s="1138"/>
      <c r="AT233" s="1138"/>
      <c r="AU233" s="1138"/>
      <c r="AV233" s="1138"/>
      <c r="AW233" s="1138"/>
      <c r="AX233" s="1138"/>
      <c r="AY233" s="1138"/>
      <c r="AZ233" s="1138"/>
      <c r="BA233" s="1138"/>
      <c r="BB233" s="1138"/>
      <c r="BC233" s="1138"/>
      <c r="BD233" s="1138"/>
      <c r="BE233" s="1138"/>
      <c r="BF233" s="1138"/>
      <c r="BG233" s="1138"/>
      <c r="BH233" s="1138"/>
      <c r="BI233" s="1138"/>
      <c r="BJ233" s="1138"/>
      <c r="BK233" s="1138"/>
      <c r="BL233" s="1138"/>
      <c r="BM233" s="1138"/>
      <c r="BN233" s="1138"/>
      <c r="BO233" s="1138"/>
      <c r="BP233" s="1138"/>
      <c r="BQ233" s="1138"/>
      <c r="BR233" s="1138"/>
      <c r="BS233" s="1138"/>
      <c r="BT233" s="1138"/>
      <c r="BU233" s="1138"/>
      <c r="BV233" s="1138"/>
      <c r="BW233" s="1138"/>
      <c r="BX233" s="1138"/>
      <c r="BY233" s="1138"/>
      <c r="BZ233" s="1138"/>
      <c r="CA233" s="1138"/>
      <c r="CB233" s="1138"/>
    </row>
    <row r="234" spans="1:80" x14ac:dyDescent="0.3">
      <c r="B234" s="269">
        <v>584</v>
      </c>
      <c r="C234" s="269" t="s">
        <v>659</v>
      </c>
      <c r="D234" s="269" t="s">
        <v>660</v>
      </c>
      <c r="E234" s="1138"/>
      <c r="F234" s="1138"/>
      <c r="G234" s="1138"/>
      <c r="H234" s="1138"/>
      <c r="I234" s="1138"/>
      <c r="J234" s="1138"/>
      <c r="K234" s="1138"/>
      <c r="L234" s="1138"/>
      <c r="M234" s="1138"/>
      <c r="N234" s="1138"/>
      <c r="O234" s="1138"/>
      <c r="P234" s="1138"/>
      <c r="Q234" s="1138"/>
      <c r="R234" s="1138"/>
      <c r="S234" s="1138"/>
      <c r="T234" s="1138"/>
      <c r="U234" s="1138"/>
      <c r="V234" s="1138"/>
      <c r="W234" s="1138"/>
      <c r="X234" s="1138"/>
      <c r="Y234" s="1138"/>
      <c r="Z234" s="1138"/>
      <c r="AA234" s="1138"/>
      <c r="AB234" s="1138"/>
      <c r="AC234" s="1138"/>
      <c r="AD234" s="1138"/>
      <c r="AE234" s="1138"/>
      <c r="AF234" s="1138"/>
      <c r="AG234" s="1138"/>
      <c r="AH234" s="1138"/>
      <c r="AI234" s="1138"/>
      <c r="AJ234" s="1138"/>
      <c r="AK234" s="1138"/>
      <c r="AL234" s="1138"/>
      <c r="AM234" s="1138"/>
      <c r="AN234" s="1138"/>
      <c r="AO234" s="1138"/>
      <c r="AP234" s="1138"/>
      <c r="AQ234" s="1138"/>
      <c r="AR234" s="1138"/>
      <c r="AS234" s="1138"/>
      <c r="AT234" s="1138"/>
      <c r="AU234" s="1138"/>
      <c r="AV234" s="1138"/>
      <c r="AW234" s="1138"/>
      <c r="AX234" s="1138"/>
      <c r="AY234" s="1138"/>
      <c r="AZ234" s="1138"/>
      <c r="BA234" s="1138"/>
      <c r="BB234" s="1138"/>
      <c r="BC234" s="1138"/>
      <c r="BD234" s="1138"/>
      <c r="BE234" s="1138"/>
      <c r="BF234" s="1138"/>
      <c r="BG234" s="1138"/>
      <c r="BH234" s="1138"/>
      <c r="BI234" s="1138"/>
      <c r="BJ234" s="1138"/>
      <c r="BK234" s="1138"/>
      <c r="BL234" s="1138"/>
      <c r="BM234" s="1138"/>
      <c r="BN234" s="1138"/>
      <c r="BO234" s="1138"/>
      <c r="BP234" s="1138"/>
      <c r="BQ234" s="1138"/>
      <c r="BR234" s="1138"/>
      <c r="BS234" s="1138"/>
      <c r="BT234" s="1138"/>
      <c r="BU234" s="1138"/>
      <c r="BV234" s="1138"/>
      <c r="BW234" s="1138"/>
      <c r="BX234" s="1138"/>
      <c r="BY234" s="1138"/>
      <c r="BZ234" s="1138"/>
      <c r="CA234" s="1138"/>
      <c r="CB234" s="1138"/>
    </row>
    <row r="235" spans="1:80" x14ac:dyDescent="0.3">
      <c r="B235" s="269">
        <v>585</v>
      </c>
      <c r="C235" s="269" t="s">
        <v>661</v>
      </c>
      <c r="D235" s="269" t="s">
        <v>662</v>
      </c>
      <c r="E235" s="1138"/>
      <c r="F235" s="1138"/>
      <c r="G235" s="1138"/>
      <c r="H235" s="1138"/>
      <c r="I235" s="1138"/>
      <c r="J235" s="1138"/>
      <c r="K235" s="1138"/>
      <c r="L235" s="1138"/>
      <c r="M235" s="1138"/>
      <c r="N235" s="1138"/>
      <c r="O235" s="1138"/>
      <c r="P235" s="1138"/>
      <c r="Q235" s="1138"/>
      <c r="R235" s="1138"/>
      <c r="S235" s="1138"/>
      <c r="T235" s="1138"/>
      <c r="U235" s="1138"/>
      <c r="V235" s="1138"/>
      <c r="W235" s="1138"/>
      <c r="X235" s="1138"/>
      <c r="Y235" s="1138"/>
      <c r="Z235" s="1138"/>
      <c r="AA235" s="1138"/>
      <c r="AB235" s="1138"/>
      <c r="AC235" s="1138"/>
      <c r="AD235" s="1138"/>
      <c r="AE235" s="1138"/>
      <c r="AF235" s="1138"/>
      <c r="AG235" s="1138"/>
      <c r="AH235" s="1138"/>
      <c r="AI235" s="1138"/>
      <c r="AJ235" s="1138"/>
      <c r="AK235" s="1138"/>
      <c r="AL235" s="1138"/>
      <c r="AM235" s="1138"/>
      <c r="AN235" s="1138"/>
      <c r="AO235" s="1138"/>
      <c r="AP235" s="1138"/>
      <c r="AQ235" s="1138"/>
      <c r="AR235" s="1138"/>
      <c r="AS235" s="1138"/>
      <c r="AT235" s="1138"/>
      <c r="AU235" s="1138"/>
      <c r="AV235" s="1138"/>
      <c r="AW235" s="1138"/>
      <c r="AX235" s="1138"/>
      <c r="AY235" s="1138"/>
      <c r="AZ235" s="1138"/>
      <c r="BA235" s="1138"/>
      <c r="BB235" s="1138"/>
      <c r="BC235" s="1138"/>
      <c r="BD235" s="1138"/>
      <c r="BE235" s="1138"/>
      <c r="BF235" s="1138"/>
      <c r="BG235" s="1138"/>
      <c r="BH235" s="1138"/>
      <c r="BI235" s="1138"/>
      <c r="BJ235" s="1138"/>
      <c r="BK235" s="1138"/>
      <c r="BL235" s="1138"/>
      <c r="BM235" s="1138"/>
      <c r="BN235" s="1138"/>
      <c r="BO235" s="1138"/>
      <c r="BP235" s="1138"/>
      <c r="BQ235" s="1138"/>
      <c r="BR235" s="1138"/>
      <c r="BS235" s="1138"/>
      <c r="BT235" s="1138"/>
      <c r="BU235" s="1138"/>
      <c r="BV235" s="1138"/>
      <c r="BW235" s="1138"/>
      <c r="BX235" s="1138"/>
      <c r="BY235" s="1138"/>
      <c r="BZ235" s="1138"/>
      <c r="CA235" s="1138"/>
      <c r="CB235" s="1138"/>
    </row>
    <row r="236" spans="1:80" x14ac:dyDescent="0.3">
      <c r="A236" s="269">
        <v>586</v>
      </c>
      <c r="B236" s="269">
        <v>586</v>
      </c>
      <c r="C236" s="269" t="s">
        <v>663</v>
      </c>
      <c r="D236" s="269" t="s">
        <v>664</v>
      </c>
      <c r="E236" s="1138">
        <v>0</v>
      </c>
      <c r="F236" s="1138">
        <v>0</v>
      </c>
      <c r="G236" s="1138">
        <v>0</v>
      </c>
      <c r="H236" s="1138">
        <v>0</v>
      </c>
      <c r="I236" s="1138">
        <v>0</v>
      </c>
      <c r="J236" s="1138">
        <v>0</v>
      </c>
      <c r="K236" s="1138">
        <v>0</v>
      </c>
      <c r="L236" s="1138">
        <v>365929</v>
      </c>
      <c r="M236" s="1138">
        <v>0</v>
      </c>
      <c r="N236" s="1138">
        <v>0</v>
      </c>
      <c r="O236" s="1138">
        <v>0</v>
      </c>
      <c r="P236" s="1138">
        <v>0</v>
      </c>
      <c r="Q236" s="1138">
        <v>0</v>
      </c>
      <c r="R236" s="1138">
        <v>0</v>
      </c>
      <c r="S236" s="1138">
        <v>0</v>
      </c>
      <c r="T236" s="1138">
        <v>0</v>
      </c>
      <c r="U236" s="1138">
        <v>0</v>
      </c>
      <c r="V236" s="1138">
        <v>0</v>
      </c>
      <c r="W236" s="1138">
        <v>0</v>
      </c>
      <c r="X236" s="1138">
        <v>0</v>
      </c>
      <c r="Y236" s="1138">
        <v>0</v>
      </c>
      <c r="Z236" s="1138">
        <v>0</v>
      </c>
      <c r="AA236" s="1138">
        <v>0</v>
      </c>
      <c r="AB236" s="1138">
        <v>212975</v>
      </c>
      <c r="AC236" s="1138">
        <v>0</v>
      </c>
      <c r="AD236" s="1138">
        <v>0</v>
      </c>
      <c r="AE236" s="1138">
        <v>0</v>
      </c>
      <c r="AF236" s="1138">
        <v>0</v>
      </c>
      <c r="AG236" s="1138">
        <v>0</v>
      </c>
      <c r="AH236" s="1138">
        <v>0</v>
      </c>
      <c r="AI236" s="1138">
        <v>0</v>
      </c>
      <c r="AJ236" s="1138">
        <v>0</v>
      </c>
      <c r="AK236" s="1138">
        <v>0</v>
      </c>
      <c r="AL236" s="1138">
        <v>0</v>
      </c>
      <c r="AM236" s="1138">
        <v>0</v>
      </c>
      <c r="AN236" s="1138">
        <v>0</v>
      </c>
      <c r="AO236" s="1138">
        <v>0</v>
      </c>
      <c r="AP236" s="1138">
        <v>0</v>
      </c>
      <c r="AQ236" s="1138">
        <v>0</v>
      </c>
      <c r="AR236" s="1138">
        <v>0</v>
      </c>
      <c r="AS236" s="1138">
        <v>0</v>
      </c>
      <c r="AT236" s="1138">
        <v>0</v>
      </c>
      <c r="AU236" s="1138">
        <v>0</v>
      </c>
      <c r="AV236" s="1138">
        <v>0</v>
      </c>
      <c r="AW236" s="1138">
        <v>0</v>
      </c>
      <c r="AX236" s="1138">
        <v>0</v>
      </c>
      <c r="AY236" s="1138">
        <v>0</v>
      </c>
      <c r="AZ236" s="1138">
        <v>0</v>
      </c>
      <c r="BA236" s="1138">
        <v>0</v>
      </c>
      <c r="BB236" s="1138">
        <v>0</v>
      </c>
      <c r="BC236" s="1138">
        <v>0</v>
      </c>
      <c r="BD236" s="1138">
        <v>0</v>
      </c>
      <c r="BE236" s="1138">
        <v>0</v>
      </c>
      <c r="BF236" s="1138">
        <v>0</v>
      </c>
      <c r="BG236" s="1138">
        <v>0</v>
      </c>
      <c r="BH236" s="1138">
        <v>0</v>
      </c>
      <c r="BI236" s="1138">
        <v>0</v>
      </c>
      <c r="BJ236" s="1138">
        <v>0</v>
      </c>
      <c r="BK236" s="1138">
        <v>0</v>
      </c>
      <c r="BL236" s="1138">
        <v>0</v>
      </c>
      <c r="BM236" s="1138">
        <v>0</v>
      </c>
      <c r="BN236" s="1138">
        <v>0</v>
      </c>
      <c r="BO236" s="1138">
        <v>0</v>
      </c>
      <c r="BP236" s="1138">
        <v>0</v>
      </c>
      <c r="BQ236" s="1138">
        <v>0</v>
      </c>
      <c r="BR236" s="1138">
        <v>0</v>
      </c>
      <c r="BS236" s="1138">
        <v>0</v>
      </c>
      <c r="BT236" s="1138">
        <v>0</v>
      </c>
      <c r="BU236" s="1138">
        <v>0</v>
      </c>
      <c r="BV236" s="1138">
        <v>0</v>
      </c>
      <c r="BW236" s="1138">
        <v>0</v>
      </c>
      <c r="BX236" s="1138">
        <v>0</v>
      </c>
      <c r="BY236" s="1138">
        <v>0</v>
      </c>
      <c r="BZ236" s="1138">
        <v>0</v>
      </c>
      <c r="CA236" s="1138">
        <v>87311</v>
      </c>
      <c r="CB236" s="1138">
        <v>0</v>
      </c>
    </row>
    <row r="237" spans="1:80" x14ac:dyDescent="0.3">
      <c r="B237" s="269">
        <v>587</v>
      </c>
      <c r="C237" s="269" t="s">
        <v>665</v>
      </c>
      <c r="D237" s="269" t="s">
        <v>666</v>
      </c>
      <c r="E237" s="1138"/>
      <c r="F237" s="1138"/>
      <c r="G237" s="1138"/>
      <c r="H237" s="1138"/>
      <c r="I237" s="1138"/>
      <c r="J237" s="1138"/>
      <c r="K237" s="1138"/>
      <c r="L237" s="1138"/>
      <c r="M237" s="1138"/>
      <c r="N237" s="1138"/>
      <c r="O237" s="1138"/>
      <c r="P237" s="1138"/>
      <c r="Q237" s="1138"/>
      <c r="R237" s="1138"/>
      <c r="S237" s="1138"/>
      <c r="T237" s="1138"/>
      <c r="U237" s="1138"/>
      <c r="V237" s="1138"/>
      <c r="W237" s="1138"/>
      <c r="X237" s="1138"/>
      <c r="Y237" s="1138"/>
      <c r="Z237" s="1138"/>
      <c r="AA237" s="1138"/>
      <c r="AB237" s="1138"/>
      <c r="AC237" s="1138"/>
      <c r="AD237" s="1138"/>
      <c r="AE237" s="1138"/>
      <c r="AF237" s="1138"/>
      <c r="AG237" s="1138"/>
      <c r="AH237" s="1138"/>
      <c r="AI237" s="1138"/>
      <c r="AJ237" s="1138"/>
      <c r="AK237" s="1138"/>
      <c r="AL237" s="1138"/>
      <c r="AM237" s="1138"/>
      <c r="AN237" s="1138"/>
      <c r="AO237" s="1138"/>
      <c r="AP237" s="1138"/>
      <c r="AQ237" s="1138"/>
      <c r="AR237" s="1138"/>
      <c r="AS237" s="1138"/>
      <c r="AT237" s="1138"/>
      <c r="AU237" s="1138"/>
      <c r="AV237" s="1138"/>
      <c r="AW237" s="1138"/>
      <c r="AX237" s="1138"/>
      <c r="AY237" s="1138"/>
      <c r="AZ237" s="1138"/>
      <c r="BA237" s="1138"/>
      <c r="BB237" s="1138"/>
      <c r="BC237" s="1138"/>
      <c r="BD237" s="1138"/>
      <c r="BE237" s="1138"/>
      <c r="BF237" s="1138"/>
      <c r="BG237" s="1138"/>
      <c r="BH237" s="1138"/>
      <c r="BI237" s="1138"/>
      <c r="BJ237" s="1138"/>
      <c r="BK237" s="1138"/>
      <c r="BL237" s="1138"/>
      <c r="BM237" s="1138"/>
      <c r="BN237" s="1138"/>
      <c r="BO237" s="1138"/>
      <c r="BP237" s="1138"/>
      <c r="BQ237" s="1138"/>
      <c r="BR237" s="1138"/>
      <c r="BS237" s="1138"/>
      <c r="BT237" s="1138"/>
      <c r="BU237" s="1138"/>
      <c r="BV237" s="1138"/>
      <c r="BW237" s="1138"/>
      <c r="BX237" s="1138"/>
      <c r="BY237" s="1138"/>
      <c r="BZ237" s="1138"/>
      <c r="CA237" s="1138"/>
      <c r="CB237" s="1138"/>
    </row>
    <row r="238" spans="1:80" x14ac:dyDescent="0.3">
      <c r="B238" s="269">
        <v>588</v>
      </c>
      <c r="C238" s="269" t="s">
        <v>667</v>
      </c>
      <c r="D238" s="269" t="s">
        <v>668</v>
      </c>
      <c r="E238" s="1138"/>
      <c r="F238" s="1138"/>
      <c r="G238" s="1138"/>
      <c r="H238" s="1138"/>
      <c r="I238" s="1138"/>
      <c r="J238" s="1138"/>
      <c r="K238" s="1138"/>
      <c r="L238" s="1138"/>
      <c r="M238" s="1138"/>
      <c r="N238" s="1138"/>
      <c r="O238" s="1138"/>
      <c r="P238" s="1138"/>
      <c r="Q238" s="1138"/>
      <c r="R238" s="1138"/>
      <c r="S238" s="1138"/>
      <c r="T238" s="1138"/>
      <c r="U238" s="1138"/>
      <c r="V238" s="1138"/>
      <c r="W238" s="1138"/>
      <c r="X238" s="1138"/>
      <c r="Y238" s="1138"/>
      <c r="Z238" s="1138"/>
      <c r="AA238" s="1138"/>
      <c r="AB238" s="1138"/>
      <c r="AC238" s="1138"/>
      <c r="AD238" s="1138"/>
      <c r="AE238" s="1138"/>
      <c r="AF238" s="1138"/>
      <c r="AG238" s="1138"/>
      <c r="AH238" s="1138"/>
      <c r="AI238" s="1138"/>
      <c r="AJ238" s="1138"/>
      <c r="AK238" s="1138"/>
      <c r="AL238" s="1138"/>
      <c r="AM238" s="1138"/>
      <c r="AN238" s="1138"/>
      <c r="AO238" s="1138"/>
      <c r="AP238" s="1138"/>
      <c r="AQ238" s="1138"/>
      <c r="AR238" s="1138"/>
      <c r="AS238" s="1138"/>
      <c r="AT238" s="1138"/>
      <c r="AU238" s="1138"/>
      <c r="AV238" s="1138"/>
      <c r="AW238" s="1138"/>
      <c r="AX238" s="1138"/>
      <c r="AY238" s="1138"/>
      <c r="AZ238" s="1138"/>
      <c r="BA238" s="1138"/>
      <c r="BB238" s="1138"/>
      <c r="BC238" s="1138"/>
      <c r="BD238" s="1138"/>
      <c r="BE238" s="1138"/>
      <c r="BF238" s="1138"/>
      <c r="BG238" s="1138"/>
      <c r="BH238" s="1138"/>
      <c r="BI238" s="1138"/>
      <c r="BJ238" s="1138"/>
      <c r="BK238" s="1138"/>
      <c r="BL238" s="1138"/>
      <c r="BM238" s="1138"/>
      <c r="BN238" s="1138"/>
      <c r="BO238" s="1138"/>
      <c r="BP238" s="1138"/>
      <c r="BQ238" s="1138"/>
      <c r="BR238" s="1138"/>
      <c r="BS238" s="1138"/>
      <c r="BT238" s="1138"/>
      <c r="BU238" s="1138"/>
      <c r="BV238" s="1138"/>
      <c r="BW238" s="1138"/>
      <c r="BX238" s="1138"/>
      <c r="BY238" s="1138"/>
      <c r="BZ238" s="1138"/>
      <c r="CA238" s="1138"/>
      <c r="CB238" s="1138"/>
    </row>
    <row r="239" spans="1:80" x14ac:dyDescent="0.3">
      <c r="B239" s="269">
        <v>589</v>
      </c>
      <c r="C239" s="269" t="s">
        <v>669</v>
      </c>
      <c r="D239" s="269" t="s">
        <v>670</v>
      </c>
      <c r="E239" s="1138"/>
      <c r="F239" s="1138"/>
      <c r="G239" s="1138"/>
      <c r="H239" s="1138"/>
      <c r="I239" s="1138"/>
      <c r="J239" s="1138"/>
      <c r="K239" s="1138"/>
      <c r="L239" s="1138"/>
      <c r="M239" s="1138"/>
      <c r="N239" s="1138"/>
      <c r="O239" s="1138"/>
      <c r="P239" s="1138"/>
      <c r="Q239" s="1138"/>
      <c r="R239" s="1138"/>
      <c r="S239" s="1138"/>
      <c r="T239" s="1138"/>
      <c r="U239" s="1138"/>
      <c r="V239" s="1138"/>
      <c r="W239" s="1138"/>
      <c r="X239" s="1138"/>
      <c r="Y239" s="1138"/>
      <c r="Z239" s="1138"/>
      <c r="AA239" s="1138"/>
      <c r="AB239" s="1138"/>
      <c r="AC239" s="1138"/>
      <c r="AD239" s="1138"/>
      <c r="AE239" s="1138"/>
      <c r="AF239" s="1138"/>
      <c r="AG239" s="1138"/>
      <c r="AH239" s="1138"/>
      <c r="AI239" s="1138"/>
      <c r="AJ239" s="1138"/>
      <c r="AK239" s="1138"/>
      <c r="AL239" s="1138"/>
      <c r="AM239" s="1138"/>
      <c r="AN239" s="1138"/>
      <c r="AO239" s="1138"/>
      <c r="AP239" s="1138"/>
      <c r="AQ239" s="1138"/>
      <c r="AR239" s="1138"/>
      <c r="AS239" s="1138"/>
      <c r="AT239" s="1138"/>
      <c r="AU239" s="1138"/>
      <c r="AV239" s="1138"/>
      <c r="AW239" s="1138"/>
      <c r="AX239" s="1138"/>
      <c r="AY239" s="1138"/>
      <c r="AZ239" s="1138"/>
      <c r="BA239" s="1138"/>
      <c r="BB239" s="1138"/>
      <c r="BC239" s="1138"/>
      <c r="BD239" s="1138"/>
      <c r="BE239" s="1138"/>
      <c r="BF239" s="1138"/>
      <c r="BG239" s="1138"/>
      <c r="BH239" s="1138"/>
      <c r="BI239" s="1138"/>
      <c r="BJ239" s="1138"/>
      <c r="BK239" s="1138"/>
      <c r="BL239" s="1138"/>
      <c r="BM239" s="1138"/>
      <c r="BN239" s="1138"/>
      <c r="BO239" s="1138"/>
      <c r="BP239" s="1138"/>
      <c r="BQ239" s="1138"/>
      <c r="BR239" s="1138"/>
      <c r="BS239" s="1138"/>
      <c r="BT239" s="1138"/>
      <c r="BU239" s="1138"/>
      <c r="BV239" s="1138"/>
      <c r="BW239" s="1138"/>
      <c r="BX239" s="1138"/>
      <c r="BY239" s="1138"/>
      <c r="BZ239" s="1138"/>
      <c r="CA239" s="1138"/>
      <c r="CB239" s="1138"/>
    </row>
    <row r="240" spans="1:80" x14ac:dyDescent="0.3">
      <c r="B240" s="269">
        <v>590</v>
      </c>
      <c r="C240" s="269" t="s">
        <v>671</v>
      </c>
      <c r="D240" s="269" t="s">
        <v>672</v>
      </c>
      <c r="E240" s="1138"/>
      <c r="F240" s="1138"/>
      <c r="G240" s="1138"/>
      <c r="H240" s="1138"/>
      <c r="I240" s="1138"/>
      <c r="J240" s="1138"/>
      <c r="K240" s="1138"/>
      <c r="L240" s="1138"/>
      <c r="M240" s="1138"/>
      <c r="N240" s="1138"/>
      <c r="O240" s="1138"/>
      <c r="P240" s="1138"/>
      <c r="Q240" s="1138"/>
      <c r="R240" s="1138"/>
      <c r="S240" s="1138"/>
      <c r="T240" s="1138"/>
      <c r="U240" s="1138"/>
      <c r="V240" s="1138"/>
      <c r="W240" s="1138"/>
      <c r="X240" s="1138"/>
      <c r="Y240" s="1138"/>
      <c r="Z240" s="1138"/>
      <c r="AA240" s="1138"/>
      <c r="AB240" s="1138"/>
      <c r="AC240" s="1138"/>
      <c r="AD240" s="1138"/>
      <c r="AE240" s="1138"/>
      <c r="AF240" s="1138"/>
      <c r="AG240" s="1138"/>
      <c r="AH240" s="1138"/>
      <c r="AI240" s="1138"/>
      <c r="AJ240" s="1138"/>
      <c r="AK240" s="1138"/>
      <c r="AL240" s="1138"/>
      <c r="AM240" s="1138"/>
      <c r="AN240" s="1138"/>
      <c r="AO240" s="1138"/>
      <c r="AP240" s="1138"/>
      <c r="AQ240" s="1138"/>
      <c r="AR240" s="1138"/>
      <c r="AS240" s="1138"/>
      <c r="AT240" s="1138"/>
      <c r="AU240" s="1138"/>
      <c r="AV240" s="1138"/>
      <c r="AW240" s="1138"/>
      <c r="AX240" s="1138"/>
      <c r="AY240" s="1138"/>
      <c r="AZ240" s="1138"/>
      <c r="BA240" s="1138"/>
      <c r="BB240" s="1138"/>
      <c r="BC240" s="1138"/>
      <c r="BD240" s="1138"/>
      <c r="BE240" s="1138"/>
      <c r="BF240" s="1138"/>
      <c r="BG240" s="1138"/>
      <c r="BH240" s="1138"/>
      <c r="BI240" s="1138"/>
      <c r="BJ240" s="1138"/>
      <c r="BK240" s="1138"/>
      <c r="BL240" s="1138"/>
      <c r="BM240" s="1138"/>
      <c r="BN240" s="1138"/>
      <c r="BO240" s="1138"/>
      <c r="BP240" s="1138"/>
      <c r="BQ240" s="1138"/>
      <c r="BR240" s="1138"/>
      <c r="BS240" s="1138"/>
      <c r="BT240" s="1138"/>
      <c r="BU240" s="1138"/>
      <c r="BV240" s="1138"/>
      <c r="BW240" s="1138"/>
      <c r="BX240" s="1138"/>
      <c r="BY240" s="1138"/>
      <c r="BZ240" s="1138"/>
      <c r="CA240" s="1138"/>
      <c r="CB240" s="1138"/>
    </row>
    <row r="241" spans="1:80" x14ac:dyDescent="0.3">
      <c r="B241" s="269">
        <v>992</v>
      </c>
      <c r="D241" s="269" t="s">
        <v>603</v>
      </c>
      <c r="E241" s="1138"/>
      <c r="F241" s="1138"/>
      <c r="G241" s="1138"/>
      <c r="H241" s="1138"/>
      <c r="I241" s="1138"/>
      <c r="J241" s="1138"/>
      <c r="K241" s="1138"/>
      <c r="L241" s="1138"/>
      <c r="M241" s="1138"/>
      <c r="N241" s="1138"/>
      <c r="O241" s="1138"/>
      <c r="P241" s="1138"/>
      <c r="Q241" s="1138"/>
      <c r="R241" s="1138"/>
      <c r="S241" s="1138"/>
      <c r="T241" s="1138"/>
      <c r="U241" s="1138"/>
      <c r="V241" s="1138"/>
      <c r="W241" s="1138"/>
      <c r="X241" s="1138"/>
      <c r="Y241" s="1138"/>
      <c r="Z241" s="1138"/>
      <c r="AA241" s="1138"/>
      <c r="AB241" s="1138"/>
      <c r="AC241" s="1138"/>
      <c r="AD241" s="1138"/>
      <c r="AE241" s="1138"/>
      <c r="AF241" s="1138"/>
      <c r="AG241" s="1138"/>
      <c r="AH241" s="1138"/>
      <c r="AI241" s="1138"/>
      <c r="AJ241" s="1138"/>
      <c r="AK241" s="1138"/>
      <c r="AL241" s="1138"/>
      <c r="AM241" s="1138"/>
      <c r="AN241" s="1138"/>
      <c r="AO241" s="1138"/>
      <c r="AP241" s="1138"/>
      <c r="AQ241" s="1138"/>
      <c r="AR241" s="1138"/>
      <c r="AS241" s="1138"/>
      <c r="AT241" s="1138"/>
      <c r="AU241" s="1138"/>
      <c r="AV241" s="1138"/>
      <c r="AW241" s="1138"/>
      <c r="AX241" s="1138"/>
      <c r="AY241" s="1138"/>
      <c r="AZ241" s="1138"/>
      <c r="BA241" s="1138"/>
      <c r="BB241" s="1138"/>
      <c r="BC241" s="1138"/>
      <c r="BD241" s="1138"/>
      <c r="BE241" s="1138"/>
      <c r="BF241" s="1138"/>
      <c r="BG241" s="1138"/>
      <c r="BH241" s="1138"/>
      <c r="BI241" s="1138"/>
      <c r="BJ241" s="1138"/>
      <c r="BK241" s="1138"/>
      <c r="BL241" s="1138"/>
      <c r="BM241" s="1138"/>
      <c r="BN241" s="1138"/>
      <c r="BO241" s="1138"/>
      <c r="BP241" s="1138"/>
      <c r="BQ241" s="1138"/>
      <c r="BR241" s="1138"/>
      <c r="BS241" s="1138"/>
      <c r="BT241" s="1138"/>
      <c r="BU241" s="1138"/>
      <c r="BV241" s="1138"/>
      <c r="BW241" s="1138"/>
      <c r="BX241" s="1138"/>
      <c r="BY241" s="1138"/>
      <c r="BZ241" s="1138"/>
      <c r="CA241" s="1138"/>
      <c r="CB241" s="1138"/>
    </row>
    <row r="242" spans="1:80" x14ac:dyDescent="0.3">
      <c r="B242" s="1002">
        <v>993</v>
      </c>
      <c r="C242" s="269" t="s">
        <v>515</v>
      </c>
      <c r="D242" s="269" t="s">
        <v>516</v>
      </c>
      <c r="E242" s="1138"/>
      <c r="F242" s="1138"/>
      <c r="G242" s="1138"/>
      <c r="H242" s="1138"/>
      <c r="I242" s="1138"/>
      <c r="J242" s="1138"/>
      <c r="K242" s="1138"/>
      <c r="L242" s="1138"/>
      <c r="M242" s="1138"/>
      <c r="N242" s="1138"/>
      <c r="O242" s="1138"/>
      <c r="P242" s="1138"/>
      <c r="Q242" s="1138"/>
      <c r="R242" s="1138"/>
      <c r="S242" s="1138"/>
      <c r="T242" s="1138"/>
      <c r="U242" s="1138"/>
      <c r="V242" s="1138"/>
      <c r="W242" s="1138"/>
      <c r="X242" s="1138"/>
      <c r="Y242" s="1138"/>
      <c r="Z242" s="1138"/>
      <c r="AA242" s="1138"/>
      <c r="AB242" s="1138"/>
      <c r="AC242" s="1138"/>
      <c r="AD242" s="1138"/>
      <c r="AE242" s="1138"/>
      <c r="AF242" s="1138"/>
      <c r="AG242" s="1138"/>
      <c r="AH242" s="1138"/>
      <c r="AI242" s="1138"/>
      <c r="AJ242" s="1138"/>
      <c r="AK242" s="1138"/>
      <c r="AL242" s="1138"/>
      <c r="AM242" s="1138"/>
      <c r="AN242" s="1138"/>
      <c r="AO242" s="1138"/>
      <c r="AP242" s="1138"/>
      <c r="AQ242" s="1138"/>
      <c r="AR242" s="1138"/>
      <c r="AS242" s="1138"/>
      <c r="AT242" s="1138"/>
      <c r="AU242" s="1138"/>
      <c r="AV242" s="1138"/>
      <c r="AW242" s="1138"/>
      <c r="AX242" s="1138"/>
      <c r="AY242" s="1138"/>
      <c r="AZ242" s="1138"/>
      <c r="BA242" s="1138"/>
      <c r="BB242" s="1138"/>
      <c r="BC242" s="1138"/>
      <c r="BD242" s="1138"/>
      <c r="BE242" s="1138"/>
      <c r="BF242" s="1138"/>
      <c r="BG242" s="1138"/>
      <c r="BH242" s="1138"/>
      <c r="BI242" s="1138"/>
      <c r="BJ242" s="1138"/>
      <c r="BK242" s="1138"/>
      <c r="BL242" s="1138"/>
      <c r="BM242" s="1138"/>
      <c r="BN242" s="1138"/>
      <c r="BO242" s="1138"/>
      <c r="BP242" s="1138"/>
      <c r="BQ242" s="1138"/>
      <c r="BR242" s="1138"/>
      <c r="BS242" s="1138"/>
      <c r="BT242" s="1138"/>
      <c r="BU242" s="1138"/>
      <c r="BV242" s="1138"/>
      <c r="BW242" s="1138"/>
      <c r="BX242" s="1138"/>
      <c r="BY242" s="1138"/>
      <c r="BZ242" s="1138"/>
      <c r="CA242" s="1138"/>
      <c r="CB242" s="1138"/>
    </row>
    <row r="243" spans="1:80" x14ac:dyDescent="0.3">
      <c r="B243" s="1002">
        <v>994</v>
      </c>
      <c r="C243" s="269" t="s">
        <v>517</v>
      </c>
      <c r="D243" s="269" t="s">
        <v>518</v>
      </c>
      <c r="E243" s="1138"/>
      <c r="F243" s="1138"/>
      <c r="G243" s="1138"/>
      <c r="H243" s="1138"/>
      <c r="I243" s="1138"/>
      <c r="J243" s="1138"/>
      <c r="K243" s="1138"/>
      <c r="L243" s="1138"/>
      <c r="M243" s="1138"/>
      <c r="N243" s="1138"/>
      <c r="O243" s="1138"/>
      <c r="P243" s="1138"/>
      <c r="Q243" s="1138"/>
      <c r="R243" s="1138"/>
      <c r="S243" s="1138"/>
      <c r="T243" s="1138"/>
      <c r="U243" s="1138"/>
      <c r="V243" s="1138"/>
      <c r="W243" s="1138"/>
      <c r="X243" s="1138"/>
      <c r="Y243" s="1138"/>
      <c r="Z243" s="1138"/>
      <c r="AA243" s="1138"/>
      <c r="AB243" s="1138"/>
      <c r="AC243" s="1138"/>
      <c r="AD243" s="1138"/>
      <c r="AE243" s="1138"/>
      <c r="AF243" s="1138"/>
      <c r="AG243" s="1138"/>
      <c r="AH243" s="1138"/>
      <c r="AI243" s="1138"/>
      <c r="AJ243" s="1138"/>
      <c r="AK243" s="1138"/>
      <c r="AL243" s="1138"/>
      <c r="AM243" s="1138"/>
      <c r="AN243" s="1138"/>
      <c r="AO243" s="1138"/>
      <c r="AP243" s="1138"/>
      <c r="AQ243" s="1138"/>
      <c r="AR243" s="1138"/>
      <c r="AS243" s="1138"/>
      <c r="AT243" s="1138"/>
      <c r="AU243" s="1138"/>
      <c r="AV243" s="1138"/>
      <c r="AW243" s="1138"/>
      <c r="AX243" s="1138"/>
      <c r="AY243" s="1138"/>
      <c r="AZ243" s="1138"/>
      <c r="BA243" s="1138"/>
      <c r="BB243" s="1138"/>
      <c r="BC243" s="1138"/>
      <c r="BD243" s="1138"/>
      <c r="BE243" s="1138"/>
      <c r="BF243" s="1138"/>
      <c r="BG243" s="1138"/>
      <c r="BH243" s="1138"/>
      <c r="BI243" s="1138"/>
      <c r="BJ243" s="1138"/>
      <c r="BK243" s="1138"/>
      <c r="BL243" s="1138"/>
      <c r="BM243" s="1138"/>
      <c r="BN243" s="1138"/>
      <c r="BO243" s="1138"/>
      <c r="BP243" s="1138"/>
      <c r="BQ243" s="1138"/>
      <c r="BR243" s="1138"/>
      <c r="BS243" s="1138"/>
      <c r="BT243" s="1138"/>
      <c r="BU243" s="1138"/>
      <c r="BV243" s="1138"/>
      <c r="BW243" s="1138"/>
      <c r="BX243" s="1138"/>
      <c r="BY243" s="1138"/>
      <c r="BZ243" s="1138"/>
      <c r="CA243" s="1138"/>
      <c r="CB243" s="1138"/>
    </row>
    <row r="244" spans="1:80" x14ac:dyDescent="0.3">
      <c r="A244" s="269">
        <v>995</v>
      </c>
      <c r="B244" s="1002">
        <v>995</v>
      </c>
      <c r="C244" s="269" t="s">
        <v>519</v>
      </c>
      <c r="D244" s="269" t="s">
        <v>520</v>
      </c>
      <c r="E244" s="1139">
        <v>0</v>
      </c>
      <c r="F244" s="1139">
        <v>0</v>
      </c>
      <c r="G244" s="1139">
        <v>0</v>
      </c>
      <c r="H244" s="1139">
        <v>0</v>
      </c>
      <c r="I244" s="1139">
        <v>0</v>
      </c>
      <c r="J244" s="1139">
        <v>0</v>
      </c>
      <c r="K244" s="1139">
        <v>0</v>
      </c>
      <c r="L244" s="1139">
        <v>0</v>
      </c>
      <c r="M244" s="1139">
        <v>0</v>
      </c>
      <c r="N244" s="1139">
        <v>0</v>
      </c>
      <c r="O244" s="1139">
        <v>0</v>
      </c>
      <c r="P244" s="1139">
        <v>0</v>
      </c>
      <c r="Q244" s="1139">
        <v>0</v>
      </c>
      <c r="R244" s="1139">
        <v>0</v>
      </c>
      <c r="S244" s="1139">
        <v>0</v>
      </c>
      <c r="T244" s="1139">
        <v>0.09</v>
      </c>
      <c r="U244" s="1139">
        <v>0</v>
      </c>
      <c r="V244" s="1139">
        <v>0.08</v>
      </c>
      <c r="W244" s="1139">
        <v>0</v>
      </c>
      <c r="X244" s="1139">
        <v>0</v>
      </c>
      <c r="Y244" s="1139">
        <v>0</v>
      </c>
      <c r="Z244" s="1139">
        <v>0</v>
      </c>
      <c r="AA244" s="1139">
        <v>0.08</v>
      </c>
      <c r="AB244" s="1139">
        <v>0</v>
      </c>
      <c r="AC244" s="1139">
        <v>0</v>
      </c>
      <c r="AD244" s="1139">
        <v>0</v>
      </c>
      <c r="AE244" s="1139">
        <v>0</v>
      </c>
      <c r="AF244" s="1139">
        <v>7.0000000000000007E-2</v>
      </c>
      <c r="AG244" s="1139">
        <v>0</v>
      </c>
      <c r="AH244" s="1139">
        <v>0</v>
      </c>
      <c r="AI244" s="1139">
        <v>0</v>
      </c>
      <c r="AJ244" s="1139">
        <v>0</v>
      </c>
      <c r="AK244" s="1139">
        <v>0.08</v>
      </c>
      <c r="AL244" s="1139">
        <v>0</v>
      </c>
      <c r="AM244" s="1139">
        <v>0</v>
      </c>
      <c r="AN244" s="1139">
        <v>0</v>
      </c>
      <c r="AO244" s="1139">
        <v>0</v>
      </c>
      <c r="AP244" s="1139">
        <v>0</v>
      </c>
      <c r="AQ244" s="1139">
        <v>0</v>
      </c>
      <c r="AR244" s="1139">
        <v>7.0000000000000007E-2</v>
      </c>
      <c r="AS244" s="1139">
        <v>0</v>
      </c>
      <c r="AT244" s="1139">
        <v>0</v>
      </c>
      <c r="AU244" s="1139">
        <v>0</v>
      </c>
      <c r="AV244" s="1139">
        <v>7.0000000000000007E-2</v>
      </c>
      <c r="AW244" s="1139">
        <v>0</v>
      </c>
      <c r="AX244" s="1139">
        <v>0</v>
      </c>
      <c r="AY244" s="1139">
        <v>0</v>
      </c>
      <c r="AZ244" s="1139">
        <v>0</v>
      </c>
      <c r="BA244" s="1139">
        <v>0.08</v>
      </c>
      <c r="BB244" s="1139">
        <v>0</v>
      </c>
      <c r="BC244" s="1139">
        <v>0</v>
      </c>
      <c r="BD244" s="1139">
        <v>0.09</v>
      </c>
      <c r="BE244" s="1139">
        <v>0</v>
      </c>
      <c r="BF244" s="1139">
        <v>0.08</v>
      </c>
      <c r="BG244" s="1139">
        <v>0.09</v>
      </c>
      <c r="BH244" s="1139">
        <v>0</v>
      </c>
      <c r="BI244" s="1139">
        <v>0</v>
      </c>
      <c r="BJ244" s="1139">
        <v>0</v>
      </c>
      <c r="BK244" s="1139">
        <v>0</v>
      </c>
      <c r="BL244" s="1139">
        <v>7.0000000000000007E-2</v>
      </c>
      <c r="BM244" s="1139">
        <v>0</v>
      </c>
      <c r="BN244" s="1139">
        <v>0</v>
      </c>
      <c r="BO244" s="1139">
        <v>0</v>
      </c>
      <c r="BP244" s="1139">
        <v>0</v>
      </c>
      <c r="BQ244" s="1139">
        <v>0</v>
      </c>
      <c r="BR244" s="1139">
        <v>0</v>
      </c>
      <c r="BS244" s="1139">
        <v>0</v>
      </c>
      <c r="BT244" s="1139">
        <v>0</v>
      </c>
      <c r="BU244" s="1139">
        <v>0</v>
      </c>
      <c r="BV244" s="1139">
        <v>0</v>
      </c>
      <c r="BW244" s="1139">
        <v>0</v>
      </c>
      <c r="BX244" s="1139">
        <v>0</v>
      </c>
      <c r="BY244" s="1139">
        <v>0</v>
      </c>
      <c r="BZ244" s="1139">
        <v>0</v>
      </c>
      <c r="CA244" s="1139">
        <v>0</v>
      </c>
      <c r="CB244" s="1139">
        <v>0</v>
      </c>
    </row>
    <row r="245" spans="1:80" x14ac:dyDescent="0.3">
      <c r="A245" s="269">
        <v>996</v>
      </c>
      <c r="B245" s="1002">
        <v>996</v>
      </c>
      <c r="C245" s="269" t="s">
        <v>521</v>
      </c>
      <c r="D245" s="269" t="s">
        <v>522</v>
      </c>
      <c r="E245" s="1139">
        <v>0</v>
      </c>
      <c r="F245" s="1139">
        <v>0</v>
      </c>
      <c r="G245" s="1139">
        <v>0.01</v>
      </c>
      <c r="H245" s="1139">
        <v>0.01</v>
      </c>
      <c r="I245" s="1139">
        <v>0.01</v>
      </c>
      <c r="J245" s="1139">
        <v>0.01</v>
      </c>
      <c r="K245" s="1139">
        <v>0.01</v>
      </c>
      <c r="L245" s="1139">
        <v>0.01</v>
      </c>
      <c r="M245" s="1139">
        <v>0.01</v>
      </c>
      <c r="N245" s="1139">
        <v>0</v>
      </c>
      <c r="O245" s="1139">
        <v>0.01</v>
      </c>
      <c r="P245" s="1139">
        <v>0.01</v>
      </c>
      <c r="Q245" s="1139">
        <v>0</v>
      </c>
      <c r="R245" s="1139">
        <v>0.01</v>
      </c>
      <c r="S245" s="1139">
        <v>0.01</v>
      </c>
      <c r="T245" s="1139">
        <v>0.01</v>
      </c>
      <c r="U245" s="1139">
        <v>0.01</v>
      </c>
      <c r="V245" s="1139">
        <v>0.01</v>
      </c>
      <c r="W245" s="1139">
        <v>0</v>
      </c>
      <c r="X245" s="1139">
        <v>0</v>
      </c>
      <c r="Y245" s="1139">
        <v>0</v>
      </c>
      <c r="Z245" s="1139">
        <v>0.01</v>
      </c>
      <c r="AA245" s="1139">
        <v>0.01</v>
      </c>
      <c r="AB245" s="1139">
        <v>0.01</v>
      </c>
      <c r="AC245" s="1139">
        <v>0</v>
      </c>
      <c r="AD245" s="1139">
        <v>0.01</v>
      </c>
      <c r="AE245" s="1139">
        <v>0.01</v>
      </c>
      <c r="AF245" s="1139">
        <v>0.01</v>
      </c>
      <c r="AG245" s="1139">
        <v>0.01</v>
      </c>
      <c r="AH245" s="1139">
        <v>0</v>
      </c>
      <c r="AI245" s="1139">
        <v>0</v>
      </c>
      <c r="AJ245" s="1139">
        <v>0.01</v>
      </c>
      <c r="AK245" s="1139">
        <v>0.01</v>
      </c>
      <c r="AL245" s="1139">
        <v>0.01</v>
      </c>
      <c r="AM245" s="1139">
        <v>0</v>
      </c>
      <c r="AN245" s="1139">
        <v>0.01</v>
      </c>
      <c r="AO245" s="1139">
        <v>0.01</v>
      </c>
      <c r="AP245" s="1139">
        <v>0.01</v>
      </c>
      <c r="AQ245" s="1139">
        <v>0</v>
      </c>
      <c r="AR245" s="1139">
        <v>0.01</v>
      </c>
      <c r="AS245" s="1139">
        <v>0.01</v>
      </c>
      <c r="AT245" s="1139">
        <v>0.01</v>
      </c>
      <c r="AU245" s="1139">
        <v>0.01</v>
      </c>
      <c r="AV245" s="1139">
        <v>0.01</v>
      </c>
      <c r="AW245" s="1139">
        <v>0.01</v>
      </c>
      <c r="AX245" s="1139">
        <v>0.01</v>
      </c>
      <c r="AY245" s="1139">
        <v>0.01</v>
      </c>
      <c r="AZ245" s="1139">
        <v>0.01</v>
      </c>
      <c r="BA245" s="1139">
        <v>0.01</v>
      </c>
      <c r="BB245" s="1139">
        <v>0</v>
      </c>
      <c r="BC245" s="1139">
        <v>0.01</v>
      </c>
      <c r="BD245" s="1139">
        <v>0.01</v>
      </c>
      <c r="BE245" s="1139">
        <v>0</v>
      </c>
      <c r="BF245" s="1139">
        <v>0.01</v>
      </c>
      <c r="BG245" s="1139">
        <v>0.01</v>
      </c>
      <c r="BH245" s="1139">
        <v>0</v>
      </c>
      <c r="BI245" s="1139">
        <v>0.01</v>
      </c>
      <c r="BJ245" s="1139">
        <v>0.01</v>
      </c>
      <c r="BK245" s="1139">
        <v>0.01</v>
      </c>
      <c r="BL245" s="1139">
        <v>0.01</v>
      </c>
      <c r="BM245" s="1139">
        <v>0.01</v>
      </c>
      <c r="BN245" s="1139">
        <v>0</v>
      </c>
      <c r="BO245" s="1139">
        <v>0.01</v>
      </c>
      <c r="BP245" s="1139">
        <v>0.01</v>
      </c>
      <c r="BQ245" s="1139">
        <v>0.01</v>
      </c>
      <c r="BR245" s="1139">
        <v>0.01</v>
      </c>
      <c r="BS245" s="1139">
        <v>0</v>
      </c>
      <c r="BT245" s="1139">
        <v>0</v>
      </c>
      <c r="BU245" s="1139">
        <v>0.01</v>
      </c>
      <c r="BV245" s="1139">
        <v>0.01</v>
      </c>
      <c r="BW245" s="1139">
        <v>0.01</v>
      </c>
      <c r="BX245" s="1139">
        <v>0.01</v>
      </c>
      <c r="BY245" s="1139">
        <v>0</v>
      </c>
      <c r="BZ245" s="1139">
        <v>0</v>
      </c>
      <c r="CA245" s="1139">
        <v>0.01</v>
      </c>
      <c r="CB245" s="1139">
        <v>0</v>
      </c>
    </row>
    <row r="246" spans="1:80" x14ac:dyDescent="0.3">
      <c r="B246" s="1002">
        <v>997</v>
      </c>
      <c r="E246" s="1139"/>
      <c r="F246" s="1139"/>
      <c r="G246" s="1139"/>
      <c r="H246" s="1139"/>
      <c r="I246" s="1139"/>
      <c r="J246" s="1139"/>
      <c r="K246" s="1139"/>
      <c r="L246" s="1139"/>
      <c r="M246" s="1139"/>
      <c r="N246" s="1139"/>
      <c r="O246" s="1139"/>
      <c r="P246" s="1139"/>
      <c r="Q246" s="1139"/>
      <c r="R246" s="1139"/>
      <c r="S246" s="1139"/>
      <c r="T246" s="1139"/>
      <c r="U246" s="1139"/>
      <c r="V246" s="1139"/>
      <c r="W246" s="1139"/>
      <c r="X246" s="1139"/>
      <c r="Y246" s="1139"/>
      <c r="Z246" s="1139"/>
      <c r="AA246" s="1139"/>
      <c r="AB246" s="1139"/>
      <c r="AC246" s="1139"/>
      <c r="AD246" s="1139"/>
      <c r="AE246" s="1139"/>
      <c r="AF246" s="1139"/>
      <c r="AG246" s="1139"/>
      <c r="AH246" s="1139"/>
      <c r="AI246" s="1139"/>
      <c r="AJ246" s="1139"/>
      <c r="AK246" s="1139"/>
      <c r="AL246" s="1139"/>
      <c r="AM246" s="1139"/>
      <c r="AN246" s="1139"/>
      <c r="AO246" s="1139"/>
      <c r="AP246" s="1139"/>
      <c r="AQ246" s="1139"/>
      <c r="AR246" s="1139"/>
      <c r="AS246" s="1139"/>
      <c r="AT246" s="1139"/>
      <c r="AU246" s="1139"/>
      <c r="AV246" s="1139"/>
      <c r="AW246" s="1139"/>
      <c r="AX246" s="1139"/>
      <c r="AY246" s="1139"/>
      <c r="AZ246" s="1139"/>
      <c r="BA246" s="1139"/>
      <c r="BB246" s="1139"/>
      <c r="BC246" s="1139"/>
      <c r="BD246" s="1139"/>
      <c r="BE246" s="1139"/>
      <c r="BF246" s="1139"/>
      <c r="BG246" s="1139"/>
      <c r="BH246" s="1139"/>
      <c r="BI246" s="1139"/>
      <c r="BJ246" s="1139"/>
      <c r="BK246" s="1139"/>
      <c r="BL246" s="1139"/>
      <c r="BM246" s="1139"/>
      <c r="BN246" s="1139"/>
      <c r="BO246" s="1139"/>
      <c r="BP246" s="1139"/>
      <c r="BQ246" s="1139"/>
      <c r="BR246" s="1139"/>
      <c r="BS246" s="1139"/>
      <c r="BT246" s="1139"/>
      <c r="BU246" s="1139"/>
      <c r="BV246" s="1139"/>
      <c r="BW246" s="1139"/>
      <c r="BX246" s="1139"/>
      <c r="BY246" s="1139"/>
      <c r="BZ246" s="1139"/>
      <c r="CA246" s="1139"/>
      <c r="CB246" s="1139"/>
    </row>
    <row r="247" spans="1:80" x14ac:dyDescent="0.3">
      <c r="A247" s="269">
        <v>998</v>
      </c>
      <c r="B247" s="1002">
        <v>998</v>
      </c>
      <c r="C247" s="269" t="s">
        <v>292</v>
      </c>
      <c r="D247" s="269" t="s">
        <v>523</v>
      </c>
      <c r="E247" s="1138">
        <v>50</v>
      </c>
      <c r="F247" s="1138">
        <v>50</v>
      </c>
      <c r="G247" s="1138">
        <v>50</v>
      </c>
      <c r="H247" s="1138">
        <v>50</v>
      </c>
      <c r="I247" s="1138">
        <v>50</v>
      </c>
      <c r="J247" s="1138">
        <v>50</v>
      </c>
      <c r="K247" s="1138">
        <v>50</v>
      </c>
      <c r="L247" s="1138">
        <v>50</v>
      </c>
      <c r="M247" s="1138">
        <v>50</v>
      </c>
      <c r="N247" s="1138">
        <v>50</v>
      </c>
      <c r="O247" s="1138">
        <v>50</v>
      </c>
      <c r="P247" s="1138">
        <v>50</v>
      </c>
      <c r="Q247" s="1138">
        <v>50</v>
      </c>
      <c r="R247" s="1138">
        <v>50</v>
      </c>
      <c r="S247" s="1138">
        <v>50</v>
      </c>
      <c r="T247" s="1138">
        <v>50</v>
      </c>
      <c r="U247" s="1138">
        <v>50</v>
      </c>
      <c r="V247" s="1138">
        <v>50</v>
      </c>
      <c r="W247" s="1138">
        <v>50</v>
      </c>
      <c r="X247" s="1138">
        <v>50</v>
      </c>
      <c r="Y247" s="1138">
        <v>50</v>
      </c>
      <c r="Z247" s="1138">
        <v>50</v>
      </c>
      <c r="AA247" s="1138">
        <v>50</v>
      </c>
      <c r="AB247" s="1138">
        <v>50</v>
      </c>
      <c r="AC247" s="1138">
        <v>50</v>
      </c>
      <c r="AD247" s="1138">
        <v>50</v>
      </c>
      <c r="AE247" s="1138">
        <v>50</v>
      </c>
      <c r="AF247" s="1138">
        <v>50</v>
      </c>
      <c r="AG247" s="1138">
        <v>50</v>
      </c>
      <c r="AH247" s="1138">
        <v>50</v>
      </c>
      <c r="AI247" s="1138">
        <v>50</v>
      </c>
      <c r="AJ247" s="1138">
        <v>50</v>
      </c>
      <c r="AK247" s="1138">
        <v>50</v>
      </c>
      <c r="AL247" s="1138">
        <v>50</v>
      </c>
      <c r="AM247" s="1138">
        <v>50</v>
      </c>
      <c r="AN247" s="1138">
        <v>50</v>
      </c>
      <c r="AO247" s="1138">
        <v>50</v>
      </c>
      <c r="AP247" s="1138">
        <v>50</v>
      </c>
      <c r="AQ247" s="1138">
        <v>50</v>
      </c>
      <c r="AR247" s="1138">
        <v>50</v>
      </c>
      <c r="AS247" s="1138">
        <v>50</v>
      </c>
      <c r="AT247" s="1138">
        <v>50</v>
      </c>
      <c r="AU247" s="1138">
        <v>50</v>
      </c>
      <c r="AV247" s="1138">
        <v>50</v>
      </c>
      <c r="AW247" s="1138">
        <v>50</v>
      </c>
      <c r="AX247" s="1138">
        <v>50</v>
      </c>
      <c r="AY247" s="1138">
        <v>50</v>
      </c>
      <c r="AZ247" s="1138">
        <v>50</v>
      </c>
      <c r="BA247" s="1138">
        <v>50</v>
      </c>
      <c r="BB247" s="1138">
        <v>50</v>
      </c>
      <c r="BC247" s="1138">
        <v>50</v>
      </c>
      <c r="BD247" s="1138">
        <v>50</v>
      </c>
      <c r="BE247" s="1138">
        <v>50</v>
      </c>
      <c r="BF247" s="1138">
        <v>50</v>
      </c>
      <c r="BG247" s="1138">
        <v>50</v>
      </c>
      <c r="BH247" s="1138">
        <v>50</v>
      </c>
      <c r="BI247" s="1138">
        <v>50</v>
      </c>
      <c r="BJ247" s="1138">
        <v>50</v>
      </c>
      <c r="BK247" s="1138">
        <v>50</v>
      </c>
      <c r="BL247" s="1138">
        <v>50</v>
      </c>
      <c r="BM247" s="1138">
        <v>50</v>
      </c>
      <c r="BN247" s="1138">
        <v>50</v>
      </c>
      <c r="BO247" s="1138">
        <v>50</v>
      </c>
      <c r="BP247" s="1138">
        <v>50</v>
      </c>
      <c r="BQ247" s="1138">
        <v>50</v>
      </c>
      <c r="BR247" s="1138">
        <v>50</v>
      </c>
      <c r="BS247" s="1138">
        <v>50</v>
      </c>
      <c r="BT247" s="1138">
        <v>50</v>
      </c>
      <c r="BU247" s="1138">
        <v>50</v>
      </c>
      <c r="BV247" s="1138">
        <v>50</v>
      </c>
      <c r="BW247" s="1138">
        <v>50</v>
      </c>
      <c r="BX247" s="1138">
        <v>50</v>
      </c>
      <c r="BY247" s="1138">
        <v>50</v>
      </c>
      <c r="BZ247" s="1138">
        <v>50</v>
      </c>
      <c r="CA247" s="1138">
        <v>50</v>
      </c>
      <c r="CB247" s="1138">
        <v>50</v>
      </c>
    </row>
    <row r="248" spans="1:80" x14ac:dyDescent="0.3">
      <c r="A248" s="269">
        <v>999</v>
      </c>
      <c r="B248" s="269">
        <v>999</v>
      </c>
      <c r="C248" s="269" t="s">
        <v>293</v>
      </c>
      <c r="D248" s="269" t="s">
        <v>524</v>
      </c>
      <c r="E248" s="269">
        <v>50476</v>
      </c>
      <c r="F248" s="269">
        <v>50191</v>
      </c>
      <c r="G248" s="269">
        <v>50192</v>
      </c>
      <c r="H248" s="269">
        <v>50193</v>
      </c>
      <c r="I248" s="269">
        <v>50194</v>
      </c>
      <c r="J248" s="269">
        <v>50195</v>
      </c>
      <c r="K248" s="269">
        <v>50196</v>
      </c>
      <c r="L248" s="269">
        <v>50197</v>
      </c>
      <c r="M248" s="269">
        <v>50498</v>
      </c>
      <c r="N248" s="269">
        <v>50198</v>
      </c>
      <c r="O248" s="269">
        <v>50199</v>
      </c>
      <c r="P248" s="269">
        <v>50200</v>
      </c>
      <c r="Q248" s="269">
        <v>50201</v>
      </c>
      <c r="R248" s="269">
        <v>50202</v>
      </c>
      <c r="S248" s="269">
        <v>50493</v>
      </c>
      <c r="T248" s="269">
        <v>50203</v>
      </c>
      <c r="U248" s="269">
        <v>50518</v>
      </c>
      <c r="V248" s="269">
        <v>50204</v>
      </c>
      <c r="W248" s="269">
        <v>50205</v>
      </c>
      <c r="X248" s="269">
        <v>50206</v>
      </c>
      <c r="Y248" s="269">
        <v>50207</v>
      </c>
      <c r="Z248" s="269">
        <v>50208</v>
      </c>
      <c r="AA248" s="269">
        <v>50209</v>
      </c>
      <c r="AB248" s="269">
        <v>50210</v>
      </c>
      <c r="AC248" s="269">
        <v>50519</v>
      </c>
      <c r="AD248" s="269">
        <v>50528</v>
      </c>
      <c r="AE248" s="269">
        <v>50211</v>
      </c>
      <c r="AF248" s="269">
        <v>50212</v>
      </c>
      <c r="AG248" s="269">
        <v>50213</v>
      </c>
      <c r="AH248" s="269">
        <v>50214</v>
      </c>
      <c r="AI248" s="269">
        <v>50215</v>
      </c>
      <c r="AJ248" s="269">
        <v>50216</v>
      </c>
      <c r="AK248" s="269">
        <v>50217</v>
      </c>
      <c r="AL248" s="269">
        <v>50218</v>
      </c>
      <c r="AM248" s="269">
        <v>50477</v>
      </c>
      <c r="AN248" s="269">
        <v>50520</v>
      </c>
      <c r="AO248" s="269">
        <v>50219</v>
      </c>
      <c r="AP248" s="269">
        <v>50220</v>
      </c>
      <c r="AQ248" s="269">
        <v>50536</v>
      </c>
      <c r="AR248" s="269">
        <v>50221</v>
      </c>
      <c r="AS248" s="269">
        <v>50222</v>
      </c>
      <c r="AT248" s="269">
        <v>50223</v>
      </c>
      <c r="AU248" s="269">
        <v>50224</v>
      </c>
      <c r="AV248" s="269">
        <v>50225</v>
      </c>
      <c r="AW248" s="269">
        <v>50226</v>
      </c>
      <c r="AX248" s="269">
        <v>50227</v>
      </c>
      <c r="AY248" s="269">
        <v>50455</v>
      </c>
      <c r="AZ248" s="269">
        <v>50229</v>
      </c>
      <c r="BA248" s="269">
        <v>50230</v>
      </c>
      <c r="BB248" s="269">
        <v>50231</v>
      </c>
      <c r="BC248" s="269">
        <v>50232</v>
      </c>
      <c r="BD248" s="269">
        <v>50233</v>
      </c>
      <c r="BE248" s="269">
        <v>50234</v>
      </c>
      <c r="BF248" s="269">
        <v>50235</v>
      </c>
      <c r="BG248" s="269">
        <v>50236</v>
      </c>
      <c r="BH248" s="269">
        <v>50237</v>
      </c>
      <c r="BI248" s="269">
        <v>50238</v>
      </c>
      <c r="BJ248" s="269">
        <v>50444</v>
      </c>
      <c r="BK248" s="269">
        <v>50239</v>
      </c>
      <c r="BL248" s="269">
        <v>50240</v>
      </c>
      <c r="BM248" s="269">
        <v>50241</v>
      </c>
      <c r="BN248" s="269">
        <v>50521</v>
      </c>
      <c r="BO248" s="269">
        <v>50242</v>
      </c>
      <c r="BP248" s="269">
        <v>50244</v>
      </c>
      <c r="BQ248" s="269">
        <v>50243</v>
      </c>
      <c r="BR248" s="269">
        <v>50245</v>
      </c>
      <c r="BS248" s="269">
        <v>50522</v>
      </c>
      <c r="BT248" s="269">
        <v>50246</v>
      </c>
      <c r="BU248" s="269">
        <v>50247</v>
      </c>
      <c r="BV248" s="269">
        <v>50248</v>
      </c>
      <c r="BW248" s="269">
        <v>50249</v>
      </c>
      <c r="BX248" s="269">
        <v>50250</v>
      </c>
      <c r="BY248" s="269">
        <v>50251</v>
      </c>
      <c r="BZ248" s="269">
        <v>50252</v>
      </c>
      <c r="CA248" s="269">
        <v>50253</v>
      </c>
      <c r="CB248" s="269">
        <v>50454</v>
      </c>
    </row>
    <row r="249" spans="1:80" x14ac:dyDescent="0.3">
      <c r="B249" s="269">
        <v>1000</v>
      </c>
      <c r="E249" s="269" t="s">
        <v>31</v>
      </c>
      <c r="F249" s="269" t="s">
        <v>31</v>
      </c>
      <c r="G249" s="269" t="s">
        <v>930</v>
      </c>
      <c r="H249" s="269" t="s">
        <v>930</v>
      </c>
      <c r="I249" s="269" t="s">
        <v>930</v>
      </c>
      <c r="J249" s="269" t="s">
        <v>930</v>
      </c>
      <c r="K249" s="269" t="s">
        <v>930</v>
      </c>
      <c r="L249" s="269" t="s">
        <v>930</v>
      </c>
      <c r="M249" s="269" t="s">
        <v>930</v>
      </c>
      <c r="N249" s="269" t="s">
        <v>31</v>
      </c>
      <c r="O249" s="269" t="s">
        <v>930</v>
      </c>
      <c r="P249" s="269" t="s">
        <v>930</v>
      </c>
      <c r="Q249" s="269" t="s">
        <v>31</v>
      </c>
      <c r="R249" s="269" t="s">
        <v>930</v>
      </c>
      <c r="S249" s="269" t="s">
        <v>930</v>
      </c>
      <c r="T249" s="269" t="s">
        <v>930</v>
      </c>
      <c r="U249" s="269" t="s">
        <v>930</v>
      </c>
      <c r="V249" s="269" t="s">
        <v>930</v>
      </c>
      <c r="W249" s="269" t="s">
        <v>31</v>
      </c>
      <c r="X249" s="269" t="s">
        <v>31</v>
      </c>
      <c r="Y249" s="269" t="s">
        <v>31</v>
      </c>
      <c r="Z249" s="269" t="s">
        <v>930</v>
      </c>
      <c r="AA249" s="269" t="s">
        <v>930</v>
      </c>
      <c r="AB249" s="269" t="s">
        <v>930</v>
      </c>
      <c r="AC249" s="269" t="s">
        <v>31</v>
      </c>
      <c r="AD249" s="269" t="s">
        <v>930</v>
      </c>
      <c r="AE249" s="269" t="s">
        <v>930</v>
      </c>
      <c r="AF249" s="269" t="s">
        <v>930</v>
      </c>
      <c r="AG249" s="269" t="s">
        <v>930</v>
      </c>
      <c r="AH249" s="269" t="s">
        <v>31</v>
      </c>
      <c r="AI249" s="269" t="s">
        <v>31</v>
      </c>
      <c r="AJ249" s="269" t="s">
        <v>930</v>
      </c>
      <c r="AK249" s="269" t="s">
        <v>930</v>
      </c>
      <c r="AL249" s="269" t="s">
        <v>930</v>
      </c>
      <c r="AM249" s="269" t="s">
        <v>31</v>
      </c>
      <c r="AN249" s="269" t="s">
        <v>930</v>
      </c>
      <c r="AO249" s="269" t="s">
        <v>930</v>
      </c>
      <c r="AP249" s="269" t="s">
        <v>930</v>
      </c>
      <c r="AQ249" s="269" t="s">
        <v>31</v>
      </c>
      <c r="AR249" s="269" t="s">
        <v>930</v>
      </c>
      <c r="AS249" s="269" t="s">
        <v>930</v>
      </c>
      <c r="AT249" s="269" t="s">
        <v>930</v>
      </c>
      <c r="AU249" s="269" t="s">
        <v>930</v>
      </c>
      <c r="AV249" s="269" t="s">
        <v>930</v>
      </c>
      <c r="AW249" s="269" t="s">
        <v>930</v>
      </c>
      <c r="AX249" s="269" t="s">
        <v>930</v>
      </c>
      <c r="AY249" s="269" t="s">
        <v>930</v>
      </c>
      <c r="AZ249" s="269" t="s">
        <v>930</v>
      </c>
      <c r="BA249" s="269" t="s">
        <v>930</v>
      </c>
      <c r="BB249" s="269" t="s">
        <v>31</v>
      </c>
      <c r="BC249" s="269" t="s">
        <v>930</v>
      </c>
      <c r="BD249" s="269" t="s">
        <v>930</v>
      </c>
      <c r="BE249" s="269" t="s">
        <v>31</v>
      </c>
      <c r="BF249" s="269" t="s">
        <v>930</v>
      </c>
      <c r="BG249" s="269" t="s">
        <v>930</v>
      </c>
      <c r="BH249" s="269" t="s">
        <v>31</v>
      </c>
      <c r="BI249" s="269" t="s">
        <v>930</v>
      </c>
      <c r="BJ249" s="269" t="s">
        <v>930</v>
      </c>
      <c r="BK249" s="269" t="s">
        <v>930</v>
      </c>
      <c r="BL249" s="269" t="s">
        <v>930</v>
      </c>
      <c r="BM249" s="269" t="s">
        <v>930</v>
      </c>
      <c r="BN249" s="269" t="s">
        <v>31</v>
      </c>
      <c r="BO249" s="269" t="s">
        <v>930</v>
      </c>
      <c r="BP249" s="269" t="s">
        <v>930</v>
      </c>
      <c r="BQ249" s="269" t="s">
        <v>930</v>
      </c>
      <c r="BR249" s="269" t="s">
        <v>930</v>
      </c>
      <c r="BS249" s="269" t="s">
        <v>31</v>
      </c>
      <c r="BT249" s="269" t="s">
        <v>31</v>
      </c>
      <c r="BU249" s="269" t="s">
        <v>930</v>
      </c>
      <c r="BV249" s="269" t="s">
        <v>930</v>
      </c>
      <c r="BW249" s="269" t="s">
        <v>930</v>
      </c>
      <c r="BX249" s="269" t="s">
        <v>930</v>
      </c>
      <c r="BY249" s="269" t="s">
        <v>31</v>
      </c>
      <c r="BZ249" s="269" t="s">
        <v>31</v>
      </c>
      <c r="CA249" s="269" t="s">
        <v>930</v>
      </c>
      <c r="CB249" s="269" t="s">
        <v>31</v>
      </c>
    </row>
    <row r="250" spans="1:80" x14ac:dyDescent="0.3">
      <c r="B250" s="269">
        <v>537</v>
      </c>
      <c r="E250" s="269" t="s">
        <v>52</v>
      </c>
      <c r="F250" s="269" t="s">
        <v>706</v>
      </c>
      <c r="G250" s="269" t="s">
        <v>706</v>
      </c>
      <c r="H250" s="269" t="s">
        <v>51</v>
      </c>
      <c r="I250" s="269" t="s">
        <v>51</v>
      </c>
      <c r="J250" s="269" t="s">
        <v>51</v>
      </c>
      <c r="K250" s="269" t="s">
        <v>52</v>
      </c>
      <c r="L250" s="269" t="s">
        <v>51</v>
      </c>
      <c r="M250" s="269" t="s">
        <v>52</v>
      </c>
      <c r="N250" s="269" t="s">
        <v>52</v>
      </c>
      <c r="O250" s="269" t="s">
        <v>52</v>
      </c>
      <c r="P250" s="269" t="s">
        <v>52</v>
      </c>
      <c r="Q250" s="269" t="s">
        <v>52</v>
      </c>
      <c r="R250" s="269" t="s">
        <v>51</v>
      </c>
      <c r="S250" s="269" t="s">
        <v>51</v>
      </c>
      <c r="T250" s="269" t="s">
        <v>52</v>
      </c>
      <c r="U250" s="269" t="s">
        <v>706</v>
      </c>
      <c r="V250" s="269" t="s">
        <v>52</v>
      </c>
      <c r="W250" s="269" t="s">
        <v>706</v>
      </c>
      <c r="X250" s="269" t="s">
        <v>706</v>
      </c>
      <c r="Y250" s="269" t="s">
        <v>51</v>
      </c>
      <c r="Z250" s="269" t="s">
        <v>51</v>
      </c>
      <c r="AA250" s="269" t="s">
        <v>51</v>
      </c>
      <c r="AB250" s="269" t="s">
        <v>52</v>
      </c>
      <c r="AC250" s="269" t="s">
        <v>706</v>
      </c>
      <c r="AD250" s="269" t="s">
        <v>51</v>
      </c>
      <c r="AE250" s="269" t="s">
        <v>52</v>
      </c>
      <c r="AF250" s="269" t="s">
        <v>52</v>
      </c>
      <c r="AG250" s="269" t="s">
        <v>52</v>
      </c>
      <c r="AH250" s="269" t="s">
        <v>706</v>
      </c>
      <c r="AI250" s="269" t="s">
        <v>52</v>
      </c>
      <c r="AJ250" s="269" t="s">
        <v>51</v>
      </c>
      <c r="AK250" s="269" t="s">
        <v>52</v>
      </c>
      <c r="AL250" s="269" t="s">
        <v>52</v>
      </c>
      <c r="AM250" s="269" t="s">
        <v>52</v>
      </c>
      <c r="AN250" s="269" t="s">
        <v>52</v>
      </c>
      <c r="AO250" s="269" t="s">
        <v>51</v>
      </c>
      <c r="AP250" s="269" t="s">
        <v>52</v>
      </c>
      <c r="AQ250" s="269" t="s">
        <v>706</v>
      </c>
      <c r="AR250" s="269" t="s">
        <v>51</v>
      </c>
      <c r="AS250" s="269" t="s">
        <v>52</v>
      </c>
      <c r="AT250" s="269" t="s">
        <v>51</v>
      </c>
      <c r="AU250" s="269" t="s">
        <v>52</v>
      </c>
      <c r="AV250" s="269" t="s">
        <v>52</v>
      </c>
      <c r="AW250" s="269" t="s">
        <v>51</v>
      </c>
      <c r="AX250" s="269" t="s">
        <v>52</v>
      </c>
      <c r="AY250" s="269" t="s">
        <v>52</v>
      </c>
      <c r="AZ250" s="269" t="s">
        <v>51</v>
      </c>
      <c r="BA250" s="269" t="s">
        <v>52</v>
      </c>
      <c r="BB250" s="269" t="s">
        <v>706</v>
      </c>
      <c r="BC250" s="269" t="s">
        <v>706</v>
      </c>
      <c r="BD250" s="269" t="s">
        <v>706</v>
      </c>
      <c r="BE250" s="269" t="s">
        <v>706</v>
      </c>
      <c r="BF250" s="269" t="s">
        <v>706</v>
      </c>
      <c r="BG250" s="269" t="s">
        <v>51</v>
      </c>
      <c r="BH250" s="269" t="s">
        <v>52</v>
      </c>
      <c r="BI250" s="269" t="s">
        <v>52</v>
      </c>
      <c r="BJ250" s="269" t="s">
        <v>51</v>
      </c>
      <c r="BK250" s="269" t="s">
        <v>706</v>
      </c>
      <c r="BL250" s="269" t="s">
        <v>52</v>
      </c>
      <c r="BM250" s="269" t="s">
        <v>52</v>
      </c>
      <c r="BN250" s="269" t="s">
        <v>706</v>
      </c>
      <c r="BO250" s="269" t="s">
        <v>51</v>
      </c>
      <c r="BP250" s="269" t="s">
        <v>51</v>
      </c>
      <c r="BQ250" s="269" t="s">
        <v>51</v>
      </c>
      <c r="BR250" s="269" t="s">
        <v>52</v>
      </c>
      <c r="BS250" s="269" t="s">
        <v>52</v>
      </c>
      <c r="BT250" s="269" t="s">
        <v>52</v>
      </c>
      <c r="BU250" s="269" t="s">
        <v>52</v>
      </c>
      <c r="BV250" s="269" t="s">
        <v>51</v>
      </c>
      <c r="BW250" s="269" t="s">
        <v>52</v>
      </c>
      <c r="BX250" s="269" t="s">
        <v>51</v>
      </c>
      <c r="BY250" s="269" t="s">
        <v>706</v>
      </c>
      <c r="BZ250" s="269" t="s">
        <v>706</v>
      </c>
      <c r="CA250" s="269" t="s">
        <v>51</v>
      </c>
      <c r="CB250" s="269" t="s">
        <v>706</v>
      </c>
    </row>
    <row r="251" spans="1:80" x14ac:dyDescent="0.3">
      <c r="B251" s="269">
        <v>538</v>
      </c>
      <c r="E251" s="269" t="s">
        <v>52</v>
      </c>
      <c r="F251" s="269" t="s">
        <v>706</v>
      </c>
      <c r="G251" s="269" t="s">
        <v>706</v>
      </c>
      <c r="H251" s="269" t="s">
        <v>51</v>
      </c>
      <c r="I251" s="269" t="s">
        <v>51</v>
      </c>
      <c r="J251" s="269" t="s">
        <v>52</v>
      </c>
      <c r="K251" s="269" t="s">
        <v>52</v>
      </c>
      <c r="L251" s="269" t="s">
        <v>51</v>
      </c>
      <c r="M251" s="269" t="s">
        <v>51</v>
      </c>
      <c r="N251" s="269" t="s">
        <v>52</v>
      </c>
      <c r="O251" s="269" t="s">
        <v>52</v>
      </c>
      <c r="P251" s="269" t="s">
        <v>52</v>
      </c>
      <c r="Q251" s="269" t="s">
        <v>52</v>
      </c>
      <c r="R251" s="269" t="s">
        <v>51</v>
      </c>
      <c r="S251" s="269" t="s">
        <v>51</v>
      </c>
      <c r="T251" s="269" t="s">
        <v>52</v>
      </c>
      <c r="U251" s="269" t="s">
        <v>706</v>
      </c>
      <c r="V251" s="269" t="s">
        <v>52</v>
      </c>
      <c r="W251" s="269" t="s">
        <v>706</v>
      </c>
      <c r="X251" s="269" t="s">
        <v>706</v>
      </c>
      <c r="Y251" s="269" t="s">
        <v>52</v>
      </c>
      <c r="Z251" s="269" t="s">
        <v>51</v>
      </c>
      <c r="AA251" s="269" t="s">
        <v>52</v>
      </c>
      <c r="AB251" s="269" t="s">
        <v>52</v>
      </c>
      <c r="AC251" s="269" t="s">
        <v>706</v>
      </c>
      <c r="AD251" s="269" t="s">
        <v>52</v>
      </c>
      <c r="AE251" s="269" t="s">
        <v>52</v>
      </c>
      <c r="AF251" s="269" t="s">
        <v>52</v>
      </c>
      <c r="AG251" s="269" t="s">
        <v>52</v>
      </c>
      <c r="AH251" s="269" t="s">
        <v>706</v>
      </c>
      <c r="AI251" s="269" t="s">
        <v>52</v>
      </c>
      <c r="AJ251" s="269" t="s">
        <v>52</v>
      </c>
      <c r="AK251" s="269" t="s">
        <v>52</v>
      </c>
      <c r="AL251" s="269" t="s">
        <v>52</v>
      </c>
      <c r="AM251" s="269" t="s">
        <v>52</v>
      </c>
      <c r="AN251" s="269" t="s">
        <v>52</v>
      </c>
      <c r="AO251" s="269" t="s">
        <v>51</v>
      </c>
      <c r="AP251" s="269" t="s">
        <v>52</v>
      </c>
      <c r="AQ251" s="269" t="s">
        <v>706</v>
      </c>
      <c r="AR251" s="269" t="s">
        <v>51</v>
      </c>
      <c r="AS251" s="269" t="s">
        <v>52</v>
      </c>
      <c r="AT251" s="269" t="s">
        <v>51</v>
      </c>
      <c r="AU251" s="269" t="s">
        <v>51</v>
      </c>
      <c r="AV251" s="269" t="s">
        <v>52</v>
      </c>
      <c r="AW251" s="269" t="s">
        <v>52</v>
      </c>
      <c r="AX251" s="269" t="s">
        <v>52</v>
      </c>
      <c r="AY251" s="269" t="s">
        <v>52</v>
      </c>
      <c r="AZ251" s="269" t="s">
        <v>51</v>
      </c>
      <c r="BA251" s="269" t="s">
        <v>52</v>
      </c>
      <c r="BB251" s="269" t="s">
        <v>706</v>
      </c>
      <c r="BC251" s="269" t="s">
        <v>706</v>
      </c>
      <c r="BD251" s="269" t="s">
        <v>706</v>
      </c>
      <c r="BE251" s="269" t="s">
        <v>706</v>
      </c>
      <c r="BF251" s="269" t="s">
        <v>706</v>
      </c>
      <c r="BG251" s="269" t="s">
        <v>52</v>
      </c>
      <c r="BH251" s="269" t="s">
        <v>52</v>
      </c>
      <c r="BI251" s="269" t="s">
        <v>52</v>
      </c>
      <c r="BJ251" s="269" t="s">
        <v>52</v>
      </c>
      <c r="BK251" s="269" t="s">
        <v>706</v>
      </c>
      <c r="BL251" s="269" t="s">
        <v>52</v>
      </c>
      <c r="BM251" s="269" t="s">
        <v>52</v>
      </c>
      <c r="BN251" s="269" t="s">
        <v>706</v>
      </c>
      <c r="BO251" s="269" t="s">
        <v>51</v>
      </c>
      <c r="BP251" s="269" t="s">
        <v>51</v>
      </c>
      <c r="BQ251" s="269" t="s">
        <v>51</v>
      </c>
      <c r="BR251" s="269" t="s">
        <v>52</v>
      </c>
      <c r="BS251" s="269" t="s">
        <v>52</v>
      </c>
      <c r="BT251" s="269" t="s">
        <v>52</v>
      </c>
      <c r="BU251" s="269" t="s">
        <v>52</v>
      </c>
      <c r="BV251" s="269" t="s">
        <v>51</v>
      </c>
      <c r="BW251" s="269" t="s">
        <v>52</v>
      </c>
      <c r="BX251" s="269" t="s">
        <v>52</v>
      </c>
      <c r="BY251" s="269" t="s">
        <v>706</v>
      </c>
      <c r="BZ251" s="269" t="s">
        <v>706</v>
      </c>
      <c r="CA251" s="269" t="s">
        <v>52</v>
      </c>
      <c r="CB251" s="269" t="s">
        <v>706</v>
      </c>
    </row>
    <row r="252" spans="1:80" x14ac:dyDescent="0.3">
      <c r="B252" s="269">
        <v>591</v>
      </c>
      <c r="C252" s="269" t="s">
        <v>610</v>
      </c>
      <c r="E252" s="269">
        <v>0</v>
      </c>
      <c r="F252" s="269">
        <v>428531</v>
      </c>
      <c r="G252" s="269">
        <v>0</v>
      </c>
      <c r="H252" s="269">
        <v>31258863</v>
      </c>
      <c r="I252" s="269">
        <v>2843482</v>
      </c>
      <c r="J252" s="269">
        <v>204186</v>
      </c>
      <c r="K252" s="269">
        <v>880811</v>
      </c>
      <c r="L252" s="269">
        <v>837222</v>
      </c>
      <c r="M252" s="269">
        <v>26956757</v>
      </c>
      <c r="N252" s="269">
        <v>0</v>
      </c>
      <c r="O252" s="269">
        <v>686578</v>
      </c>
      <c r="P252" s="269">
        <v>1383740</v>
      </c>
      <c r="Q252" s="269">
        <v>1876068</v>
      </c>
      <c r="R252" s="269">
        <v>3702948</v>
      </c>
      <c r="S252" s="269">
        <v>5765925</v>
      </c>
      <c r="T252" s="269">
        <v>23128957</v>
      </c>
      <c r="U252" s="269">
        <v>0</v>
      </c>
      <c r="V252" s="269">
        <v>63860853</v>
      </c>
      <c r="W252" s="269">
        <v>0</v>
      </c>
      <c r="X252" s="269">
        <v>0</v>
      </c>
      <c r="Y252" s="269">
        <v>74050</v>
      </c>
      <c r="Z252" s="269">
        <v>1938843</v>
      </c>
      <c r="AA252" s="269">
        <v>4813530</v>
      </c>
      <c r="AB252" s="269">
        <v>1519954</v>
      </c>
      <c r="AC252" s="269">
        <v>0</v>
      </c>
      <c r="AD252" s="269">
        <v>106171</v>
      </c>
      <c r="AE252" s="269">
        <v>1368805</v>
      </c>
      <c r="AF252" s="269">
        <v>8568478</v>
      </c>
      <c r="AG252" s="269">
        <v>68648</v>
      </c>
      <c r="AH252" s="269">
        <v>0</v>
      </c>
      <c r="AI252" s="269">
        <v>0</v>
      </c>
      <c r="AJ252" s="269">
        <v>460236</v>
      </c>
      <c r="AK252" s="269">
        <v>23336403</v>
      </c>
      <c r="AL252" s="269">
        <v>161445</v>
      </c>
      <c r="AM252" s="269">
        <v>0</v>
      </c>
      <c r="AN252" s="269">
        <v>4840950</v>
      </c>
      <c r="AO252" s="269">
        <v>7539008</v>
      </c>
      <c r="AP252" s="269">
        <v>96905</v>
      </c>
      <c r="AQ252" s="269">
        <v>0</v>
      </c>
      <c r="AR252" s="269">
        <v>67011413</v>
      </c>
      <c r="AS252" s="269">
        <v>1144424</v>
      </c>
      <c r="AT252" s="269">
        <v>411420</v>
      </c>
      <c r="AU252" s="269">
        <v>2726278</v>
      </c>
      <c r="AV252" s="269">
        <v>13557420</v>
      </c>
      <c r="AW252" s="269">
        <v>327703</v>
      </c>
      <c r="AX252" s="269">
        <v>558516</v>
      </c>
      <c r="AY252" s="269">
        <v>1013038</v>
      </c>
      <c r="AZ252" s="269">
        <v>2221427</v>
      </c>
      <c r="BA252" s="269">
        <v>9600093</v>
      </c>
      <c r="BB252" s="269">
        <v>0</v>
      </c>
      <c r="BC252" s="269">
        <v>0</v>
      </c>
      <c r="BD252" s="269">
        <v>0</v>
      </c>
      <c r="BE252" s="269">
        <v>0</v>
      </c>
      <c r="BF252" s="269">
        <v>0</v>
      </c>
      <c r="BG252" s="269">
        <v>830476</v>
      </c>
      <c r="BH252" s="269">
        <v>0</v>
      </c>
      <c r="BI252" s="269">
        <v>1647324</v>
      </c>
      <c r="BJ252" s="269">
        <v>821726</v>
      </c>
      <c r="BK252" s="269">
        <v>0</v>
      </c>
      <c r="BL252" s="269">
        <v>9797439</v>
      </c>
      <c r="BM252" s="269">
        <v>1895410</v>
      </c>
      <c r="BN252" s="269">
        <v>0</v>
      </c>
      <c r="BO252" s="269">
        <v>3684617</v>
      </c>
      <c r="BP252" s="269">
        <v>954721</v>
      </c>
      <c r="BQ252" s="269">
        <v>828904</v>
      </c>
      <c r="BR252" s="269">
        <v>1308312</v>
      </c>
      <c r="BS252" s="269">
        <v>0</v>
      </c>
      <c r="BT252" s="269">
        <v>0</v>
      </c>
      <c r="BU252" s="269">
        <v>832187</v>
      </c>
      <c r="BV252" s="269">
        <v>2610907</v>
      </c>
      <c r="BW252" s="269">
        <v>494115</v>
      </c>
      <c r="BX252" s="269">
        <v>533893</v>
      </c>
      <c r="BY252" s="269">
        <v>0</v>
      </c>
      <c r="BZ252" s="269">
        <v>0</v>
      </c>
      <c r="CA252" s="269">
        <v>6762948</v>
      </c>
      <c r="CB252" s="269">
        <v>0</v>
      </c>
    </row>
    <row r="253" spans="1:80" x14ac:dyDescent="0.3">
      <c r="A253" s="269">
        <v>591</v>
      </c>
      <c r="B253" s="269">
        <v>592</v>
      </c>
      <c r="C253" s="269" t="s">
        <v>611</v>
      </c>
      <c r="E253" s="269">
        <v>0</v>
      </c>
      <c r="F253" s="269">
        <v>1074327</v>
      </c>
      <c r="G253" s="269">
        <v>0</v>
      </c>
      <c r="H253" s="269">
        <v>3994282</v>
      </c>
      <c r="I253" s="269">
        <v>1287972</v>
      </c>
      <c r="J253" s="269">
        <v>945</v>
      </c>
      <c r="K253" s="269">
        <v>323757</v>
      </c>
      <c r="L253" s="269">
        <v>40157</v>
      </c>
      <c r="M253" s="269">
        <v>5812584</v>
      </c>
      <c r="N253" s="269">
        <v>0</v>
      </c>
      <c r="O253" s="269">
        <v>42517</v>
      </c>
      <c r="P253" s="269">
        <v>48886</v>
      </c>
      <c r="Q253" s="269">
        <v>-510319</v>
      </c>
      <c r="R253" s="269">
        <v>1375674</v>
      </c>
      <c r="S253" s="269">
        <v>552715</v>
      </c>
      <c r="T253" s="269">
        <v>2082844</v>
      </c>
      <c r="U253" s="269">
        <v>0</v>
      </c>
      <c r="V253" s="269">
        <v>3452979</v>
      </c>
      <c r="W253" s="269">
        <v>0</v>
      </c>
      <c r="X253" s="269">
        <v>0</v>
      </c>
      <c r="Y253" s="269">
        <v>-58489</v>
      </c>
      <c r="Z253" s="269">
        <v>302092</v>
      </c>
      <c r="AA253" s="269">
        <v>120457</v>
      </c>
      <c r="AB253" s="269">
        <v>-252230</v>
      </c>
      <c r="AC253" s="269">
        <v>0</v>
      </c>
      <c r="AD253" s="269">
        <v>-6905</v>
      </c>
      <c r="AE253" s="269">
        <v>-73854</v>
      </c>
      <c r="AF253" s="269">
        <v>607565</v>
      </c>
      <c r="AG253" s="269">
        <v>-12826</v>
      </c>
      <c r="AH253" s="269">
        <v>0</v>
      </c>
      <c r="AI253" s="269">
        <v>0</v>
      </c>
      <c r="AJ253" s="269">
        <v>44700</v>
      </c>
      <c r="AK253" s="269">
        <v>3922272</v>
      </c>
      <c r="AL253" s="269">
        <v>-48841</v>
      </c>
      <c r="AM253" s="269">
        <v>0</v>
      </c>
      <c r="AN253" s="269">
        <v>2176295</v>
      </c>
      <c r="AO253" s="269">
        <v>2124827</v>
      </c>
      <c r="AP253" s="269">
        <v>28941</v>
      </c>
      <c r="AQ253" s="269">
        <v>0</v>
      </c>
      <c r="AR253" s="269">
        <v>5590574</v>
      </c>
      <c r="AS253" s="269">
        <v>-159349</v>
      </c>
      <c r="AT253" s="269">
        <v>-106144</v>
      </c>
      <c r="AU253" s="269">
        <v>-583397</v>
      </c>
      <c r="AV253" s="269">
        <v>2130213</v>
      </c>
      <c r="AW253" s="269">
        <v>55488</v>
      </c>
      <c r="AX253" s="269">
        <v>-155933</v>
      </c>
      <c r="AY253" s="269">
        <v>951446</v>
      </c>
      <c r="AZ253" s="269">
        <v>1219995</v>
      </c>
      <c r="BA253" s="269">
        <v>-85571</v>
      </c>
      <c r="BB253" s="269">
        <v>0</v>
      </c>
      <c r="BC253" s="269">
        <v>0</v>
      </c>
      <c r="BD253" s="269">
        <v>0</v>
      </c>
      <c r="BE253" s="269">
        <v>0</v>
      </c>
      <c r="BF253" s="269">
        <v>0</v>
      </c>
      <c r="BG253" s="269">
        <v>-44853</v>
      </c>
      <c r="BH253" s="269">
        <v>0</v>
      </c>
      <c r="BI253" s="269">
        <v>172067</v>
      </c>
      <c r="BJ253" s="269">
        <v>154002</v>
      </c>
      <c r="BK253" s="269">
        <v>0</v>
      </c>
      <c r="BL253" s="269">
        <v>199241</v>
      </c>
      <c r="BM253" s="269">
        <v>144889</v>
      </c>
      <c r="BN253" s="269">
        <v>0</v>
      </c>
      <c r="BO253" s="269">
        <v>-39507</v>
      </c>
      <c r="BP253" s="269">
        <v>797625</v>
      </c>
      <c r="BQ253" s="269">
        <v>1280839</v>
      </c>
      <c r="BR253" s="269">
        <v>228724</v>
      </c>
      <c r="BS253" s="269">
        <v>0</v>
      </c>
      <c r="BT253" s="269">
        <v>0</v>
      </c>
      <c r="BU253" s="269">
        <v>410207</v>
      </c>
      <c r="BV253" s="269">
        <v>192299</v>
      </c>
      <c r="BW253" s="269">
        <v>93984</v>
      </c>
      <c r="BX253" s="269">
        <v>1360230</v>
      </c>
      <c r="BY253" s="269">
        <v>0</v>
      </c>
      <c r="BZ253" s="269">
        <v>0</v>
      </c>
      <c r="CA253" s="269">
        <v>655821</v>
      </c>
      <c r="CB253" s="269">
        <v>0</v>
      </c>
    </row>
    <row r="254" spans="1:80" x14ac:dyDescent="0.3">
      <c r="A254" s="269">
        <v>592</v>
      </c>
      <c r="B254" s="269">
        <v>595</v>
      </c>
      <c r="C254" s="269" t="s">
        <v>683</v>
      </c>
    </row>
    <row r="255" spans="1:80" x14ac:dyDescent="0.3">
      <c r="A255" s="269">
        <v>596</v>
      </c>
      <c r="B255" s="269">
        <v>596</v>
      </c>
      <c r="C255" s="269" t="s">
        <v>617</v>
      </c>
      <c r="E255" s="269">
        <v>52</v>
      </c>
      <c r="F255" s="269">
        <v>0</v>
      </c>
      <c r="G255" s="269">
        <v>0</v>
      </c>
      <c r="H255" s="269">
        <v>52</v>
      </c>
      <c r="I255" s="269">
        <v>52</v>
      </c>
      <c r="J255" s="269">
        <v>52</v>
      </c>
      <c r="K255" s="269">
        <v>52</v>
      </c>
      <c r="L255" s="269">
        <v>52</v>
      </c>
      <c r="M255" s="269">
        <v>52</v>
      </c>
      <c r="N255" s="269">
        <v>52</v>
      </c>
      <c r="O255" s="269">
        <v>52</v>
      </c>
      <c r="P255" s="269">
        <v>52</v>
      </c>
      <c r="Q255" s="269">
        <v>52</v>
      </c>
      <c r="R255" s="269">
        <v>52</v>
      </c>
      <c r="S255" s="269">
        <v>52</v>
      </c>
      <c r="T255" s="269">
        <v>52</v>
      </c>
      <c r="U255" s="269">
        <v>0</v>
      </c>
      <c r="V255" s="269">
        <v>52</v>
      </c>
      <c r="W255" s="269">
        <v>0</v>
      </c>
      <c r="X255" s="269">
        <v>0</v>
      </c>
      <c r="Y255" s="269">
        <v>52</v>
      </c>
      <c r="Z255" s="269">
        <v>52</v>
      </c>
      <c r="AA255" s="269">
        <v>52</v>
      </c>
      <c r="AB255" s="269">
        <v>52</v>
      </c>
      <c r="AC255" s="269">
        <v>0</v>
      </c>
      <c r="AD255" s="269">
        <v>52</v>
      </c>
      <c r="AE255" s="269">
        <v>52</v>
      </c>
      <c r="AF255" s="269">
        <v>52</v>
      </c>
      <c r="AG255" s="269">
        <v>52</v>
      </c>
      <c r="AH255" s="269">
        <v>0</v>
      </c>
      <c r="AI255" s="269">
        <v>52</v>
      </c>
      <c r="AJ255" s="269">
        <v>52</v>
      </c>
      <c r="AK255" s="269">
        <v>52</v>
      </c>
      <c r="AL255" s="269">
        <v>52</v>
      </c>
      <c r="AM255" s="269">
        <v>0</v>
      </c>
      <c r="AN255" s="269">
        <v>52</v>
      </c>
      <c r="AO255" s="269">
        <v>52</v>
      </c>
      <c r="AP255" s="269">
        <v>52</v>
      </c>
      <c r="AQ255" s="269">
        <v>0</v>
      </c>
      <c r="AR255" s="269">
        <v>52</v>
      </c>
      <c r="AS255" s="269">
        <v>52</v>
      </c>
      <c r="AT255" s="269">
        <v>52</v>
      </c>
      <c r="AU255" s="269">
        <v>52</v>
      </c>
      <c r="AV255" s="269">
        <v>52</v>
      </c>
      <c r="AW255" s="269">
        <v>52</v>
      </c>
      <c r="AX255" s="269">
        <v>52</v>
      </c>
      <c r="AY255" s="269">
        <v>52</v>
      </c>
      <c r="AZ255" s="269">
        <v>52</v>
      </c>
      <c r="BA255" s="269">
        <v>52</v>
      </c>
      <c r="BB255" s="269">
        <v>52</v>
      </c>
      <c r="BC255" s="269">
        <v>0</v>
      </c>
      <c r="BD255" s="269">
        <v>0</v>
      </c>
      <c r="BE255" s="269">
        <v>0</v>
      </c>
      <c r="BF255" s="269">
        <v>0</v>
      </c>
      <c r="BG255" s="269">
        <v>52</v>
      </c>
      <c r="BH255" s="269">
        <v>52</v>
      </c>
      <c r="BI255" s="269">
        <v>52</v>
      </c>
      <c r="BJ255" s="269">
        <v>52</v>
      </c>
      <c r="BK255" s="269">
        <v>0</v>
      </c>
      <c r="BL255" s="269">
        <v>52</v>
      </c>
      <c r="BM255" s="269">
        <v>52</v>
      </c>
      <c r="BN255" s="269">
        <v>0</v>
      </c>
      <c r="BO255" s="269">
        <v>52</v>
      </c>
      <c r="BP255" s="269">
        <v>52</v>
      </c>
      <c r="BQ255" s="269">
        <v>52</v>
      </c>
      <c r="BR255" s="269">
        <v>52</v>
      </c>
      <c r="BS255" s="269">
        <v>52</v>
      </c>
      <c r="BT255" s="269">
        <v>52</v>
      </c>
      <c r="BU255" s="269">
        <v>52</v>
      </c>
      <c r="BV255" s="269">
        <v>52</v>
      </c>
      <c r="BW255" s="269">
        <v>52</v>
      </c>
      <c r="BX255" s="269">
        <v>52</v>
      </c>
      <c r="BY255" s="269">
        <v>0</v>
      </c>
      <c r="BZ255" s="269">
        <v>0</v>
      </c>
      <c r="CA255" s="269">
        <v>52</v>
      </c>
      <c r="CB255" s="269">
        <v>52</v>
      </c>
    </row>
    <row r="256" spans="1:80" x14ac:dyDescent="0.3">
      <c r="A256" s="269">
        <v>597</v>
      </c>
      <c r="B256" s="269">
        <v>597</v>
      </c>
      <c r="C256" s="269" t="s">
        <v>684</v>
      </c>
      <c r="E256" s="269">
        <v>40534</v>
      </c>
      <c r="F256" s="269">
        <v>541952</v>
      </c>
      <c r="G256" s="269">
        <v>0</v>
      </c>
      <c r="H256" s="269">
        <v>1451637</v>
      </c>
      <c r="I256" s="269">
        <v>245659</v>
      </c>
      <c r="J256" s="269">
        <v>3201</v>
      </c>
      <c r="K256" s="269">
        <v>95966</v>
      </c>
      <c r="L256" s="269">
        <v>2541</v>
      </c>
      <c r="M256" s="269">
        <v>2155002</v>
      </c>
      <c r="N256" s="269">
        <v>209</v>
      </c>
      <c r="O256" s="269">
        <v>8669</v>
      </c>
      <c r="P256" s="269">
        <v>532</v>
      </c>
      <c r="Q256" s="269">
        <v>439760</v>
      </c>
      <c r="R256" s="269">
        <v>936766</v>
      </c>
      <c r="S256" s="269">
        <v>150621</v>
      </c>
      <c r="T256" s="269">
        <v>390118</v>
      </c>
      <c r="U256" s="269">
        <v>0</v>
      </c>
      <c r="V256" s="269">
        <v>259594</v>
      </c>
      <c r="W256" s="269">
        <v>870</v>
      </c>
      <c r="X256" s="269">
        <v>222885</v>
      </c>
      <c r="Y256" s="269">
        <v>230529</v>
      </c>
      <c r="Z256" s="269">
        <v>29746</v>
      </c>
      <c r="AA256" s="269">
        <v>38242</v>
      </c>
      <c r="AB256" s="269">
        <v>7925</v>
      </c>
      <c r="AC256" s="269">
        <v>13459</v>
      </c>
      <c r="AD256" s="269">
        <v>182</v>
      </c>
      <c r="AE256" s="269">
        <v>6855</v>
      </c>
      <c r="AF256" s="269">
        <v>26728</v>
      </c>
      <c r="AG256" s="269">
        <v>2010</v>
      </c>
      <c r="AH256" s="269">
        <v>230</v>
      </c>
      <c r="AI256" s="269">
        <v>3707</v>
      </c>
      <c r="AJ256" s="269">
        <v>40883</v>
      </c>
      <c r="AK256" s="269">
        <v>276308</v>
      </c>
      <c r="AL256" s="269">
        <v>7950</v>
      </c>
      <c r="AM256" s="269">
        <v>899</v>
      </c>
      <c r="AN256" s="269">
        <v>450049</v>
      </c>
      <c r="AO256" s="269">
        <v>272479</v>
      </c>
      <c r="AP256" s="269">
        <v>215</v>
      </c>
      <c r="AQ256" s="269">
        <v>184112</v>
      </c>
      <c r="AR256" s="269">
        <v>1204438</v>
      </c>
      <c r="AS256" s="269">
        <v>49172</v>
      </c>
      <c r="AT256" s="269">
        <v>7971</v>
      </c>
      <c r="AU256" s="269">
        <v>69675</v>
      </c>
      <c r="AV256" s="269">
        <v>351334</v>
      </c>
      <c r="AW256" s="269">
        <v>3802</v>
      </c>
      <c r="AX256" s="269">
        <v>10717</v>
      </c>
      <c r="AY256" s="269">
        <v>18275</v>
      </c>
      <c r="AZ256" s="269">
        <v>41903</v>
      </c>
      <c r="BA256" s="269">
        <v>117855</v>
      </c>
      <c r="BB256" s="269">
        <v>152</v>
      </c>
      <c r="BC256" s="269">
        <v>0</v>
      </c>
      <c r="BD256" s="269">
        <v>0</v>
      </c>
      <c r="BE256" s="269">
        <v>7592</v>
      </c>
      <c r="BF256" s="269">
        <v>0</v>
      </c>
      <c r="BG256" s="269">
        <v>5882</v>
      </c>
      <c r="BH256" s="269">
        <v>523</v>
      </c>
      <c r="BI256" s="269">
        <v>43295</v>
      </c>
      <c r="BJ256" s="269">
        <v>76872</v>
      </c>
      <c r="BK256" s="269">
        <v>0</v>
      </c>
      <c r="BL256" s="269">
        <v>171953</v>
      </c>
      <c r="BM256" s="269">
        <v>178206</v>
      </c>
      <c r="BN256" s="269">
        <v>100</v>
      </c>
      <c r="BO256" s="269">
        <v>35723</v>
      </c>
      <c r="BP256" s="269">
        <v>109986</v>
      </c>
      <c r="BQ256" s="269">
        <v>2772</v>
      </c>
      <c r="BR256" s="269">
        <v>27680</v>
      </c>
      <c r="BS256" s="269">
        <v>13590</v>
      </c>
      <c r="BT256" s="269">
        <v>374490</v>
      </c>
      <c r="BU256" s="269">
        <v>31540</v>
      </c>
      <c r="BV256" s="269">
        <v>45294</v>
      </c>
      <c r="BW256" s="269">
        <v>0</v>
      </c>
      <c r="BX256" s="269">
        <v>23033</v>
      </c>
      <c r="BY256" s="269">
        <v>1452</v>
      </c>
      <c r="BZ256" s="269">
        <v>1261</v>
      </c>
      <c r="CA256" s="269">
        <v>244061</v>
      </c>
      <c r="CB256" s="269">
        <v>254</v>
      </c>
    </row>
    <row r="257" spans="1:80" x14ac:dyDescent="0.3">
      <c r="E257" s="269" t="s">
        <v>930</v>
      </c>
    </row>
    <row r="258" spans="1:80" x14ac:dyDescent="0.3">
      <c r="A258" s="269">
        <v>598</v>
      </c>
      <c r="B258" s="269">
        <v>598</v>
      </c>
      <c r="C258" s="269" t="s">
        <v>678</v>
      </c>
      <c r="E258" s="269">
        <v>0</v>
      </c>
      <c r="F258" s="269">
        <v>0</v>
      </c>
      <c r="G258" s="269">
        <v>0</v>
      </c>
      <c r="H258" s="269">
        <v>259671</v>
      </c>
      <c r="I258" s="269">
        <v>0</v>
      </c>
      <c r="J258" s="269">
        <v>0</v>
      </c>
      <c r="K258" s="269">
        <v>15070</v>
      </c>
      <c r="L258" s="269">
        <v>8379</v>
      </c>
      <c r="M258" s="269">
        <v>374483</v>
      </c>
      <c r="N258" s="269">
        <v>0</v>
      </c>
      <c r="O258" s="269">
        <v>0</v>
      </c>
      <c r="P258" s="269">
        <v>0</v>
      </c>
      <c r="Q258" s="269">
        <v>175396</v>
      </c>
      <c r="R258" s="269">
        <v>36874</v>
      </c>
      <c r="S258" s="269">
        <v>0</v>
      </c>
      <c r="T258" s="269">
        <v>34923</v>
      </c>
      <c r="U258" s="269">
        <v>0</v>
      </c>
      <c r="V258" s="269">
        <v>219984</v>
      </c>
      <c r="W258" s="269">
        <v>0</v>
      </c>
      <c r="X258" s="269">
        <v>54579</v>
      </c>
      <c r="Y258" s="269">
        <v>71930</v>
      </c>
      <c r="Z258" s="269">
        <v>20758</v>
      </c>
      <c r="AA258" s="269">
        <v>0</v>
      </c>
      <c r="AB258" s="269">
        <v>9136</v>
      </c>
      <c r="AC258" s="269">
        <v>0</v>
      </c>
      <c r="AD258" s="269">
        <v>0</v>
      </c>
      <c r="AE258" s="269">
        <v>0</v>
      </c>
      <c r="AF258" s="269">
        <v>6994</v>
      </c>
      <c r="AG258" s="269">
        <v>0</v>
      </c>
      <c r="AH258" s="269">
        <v>0</v>
      </c>
      <c r="AI258" s="269">
        <v>0</v>
      </c>
      <c r="AJ258" s="269">
        <v>0</v>
      </c>
      <c r="AK258" s="269">
        <v>56529</v>
      </c>
      <c r="AL258" s="269">
        <v>0</v>
      </c>
      <c r="AM258" s="269">
        <v>0</v>
      </c>
      <c r="AN258" s="269">
        <v>0</v>
      </c>
      <c r="AO258" s="269">
        <v>109230</v>
      </c>
      <c r="AP258" s="269">
        <v>0</v>
      </c>
      <c r="AQ258" s="269">
        <v>0</v>
      </c>
      <c r="AR258" s="269">
        <v>146033</v>
      </c>
      <c r="AS258" s="269">
        <v>10503</v>
      </c>
      <c r="AT258" s="269">
        <v>0</v>
      </c>
      <c r="AU258" s="269">
        <v>0</v>
      </c>
      <c r="AV258" s="269">
        <v>88619</v>
      </c>
      <c r="AW258" s="269">
        <v>0</v>
      </c>
      <c r="AX258" s="269">
        <v>4095</v>
      </c>
      <c r="AY258" s="269">
        <v>0</v>
      </c>
      <c r="AZ258" s="269">
        <v>15465</v>
      </c>
      <c r="BA258" s="269">
        <v>16250</v>
      </c>
      <c r="BB258" s="269">
        <v>0</v>
      </c>
      <c r="BC258" s="269">
        <v>0</v>
      </c>
      <c r="BD258" s="269">
        <v>0</v>
      </c>
      <c r="BE258" s="269">
        <v>0</v>
      </c>
      <c r="BF258" s="269">
        <v>0</v>
      </c>
      <c r="BG258" s="269">
        <v>0</v>
      </c>
      <c r="BH258" s="269">
        <v>0</v>
      </c>
      <c r="BI258" s="269">
        <v>23409</v>
      </c>
      <c r="BJ258" s="269">
        <v>30429</v>
      </c>
      <c r="BK258" s="269">
        <v>0</v>
      </c>
      <c r="BL258" s="269">
        <v>9228</v>
      </c>
      <c r="BM258" s="269">
        <v>15779</v>
      </c>
      <c r="BN258" s="269">
        <v>0</v>
      </c>
      <c r="BO258" s="269">
        <v>50383</v>
      </c>
      <c r="BP258" s="269">
        <v>0</v>
      </c>
      <c r="BQ258" s="269">
        <v>0</v>
      </c>
      <c r="BR258" s="269">
        <v>27705</v>
      </c>
      <c r="BS258" s="269">
        <v>0</v>
      </c>
      <c r="BT258" s="269">
        <v>72838</v>
      </c>
      <c r="BU258" s="269">
        <v>12379</v>
      </c>
      <c r="BV258" s="269">
        <v>24210</v>
      </c>
      <c r="BW258" s="269">
        <v>0</v>
      </c>
      <c r="BX258" s="269">
        <v>0</v>
      </c>
      <c r="BY258" s="269">
        <v>0</v>
      </c>
      <c r="BZ258" s="269">
        <v>0</v>
      </c>
      <c r="CA258" s="269">
        <v>6883</v>
      </c>
      <c r="CB258" s="269">
        <v>0</v>
      </c>
    </row>
    <row r="259" spans="1:80" x14ac:dyDescent="0.3">
      <c r="A259" s="269">
        <v>599</v>
      </c>
      <c r="B259" s="269">
        <v>599</v>
      </c>
      <c r="C259" s="269" t="s">
        <v>679</v>
      </c>
      <c r="E259" s="269">
        <v>43049</v>
      </c>
      <c r="F259" s="269">
        <v>0</v>
      </c>
      <c r="G259" s="269">
        <v>0</v>
      </c>
      <c r="H259" s="269">
        <v>3522688</v>
      </c>
      <c r="I259" s="269">
        <v>0</v>
      </c>
      <c r="J259" s="269">
        <v>0</v>
      </c>
      <c r="K259" s="269">
        <v>188240</v>
      </c>
      <c r="L259" s="269">
        <v>157642</v>
      </c>
      <c r="M259" s="269">
        <v>6750759</v>
      </c>
      <c r="N259" s="269">
        <v>0</v>
      </c>
      <c r="O259" s="269">
        <v>80530</v>
      </c>
      <c r="P259" s="269">
        <v>78367</v>
      </c>
      <c r="Q259" s="269">
        <v>2864831</v>
      </c>
      <c r="R259" s="269">
        <v>930836</v>
      </c>
      <c r="S259" s="269">
        <v>424321</v>
      </c>
      <c r="T259" s="269">
        <v>948517</v>
      </c>
      <c r="U259" s="269">
        <v>0</v>
      </c>
      <c r="V259" s="269">
        <v>3559172</v>
      </c>
      <c r="W259" s="269">
        <v>0</v>
      </c>
      <c r="X259" s="269">
        <v>725190</v>
      </c>
      <c r="Y259" s="269">
        <v>1093461</v>
      </c>
      <c r="Z259" s="269">
        <v>297731</v>
      </c>
      <c r="AA259" s="269">
        <v>0</v>
      </c>
      <c r="AB259" s="269">
        <v>269421</v>
      </c>
      <c r="AC259" s="269">
        <v>0</v>
      </c>
      <c r="AD259" s="269">
        <v>0</v>
      </c>
      <c r="AE259" s="269">
        <v>48969</v>
      </c>
      <c r="AF259" s="269">
        <v>41071</v>
      </c>
      <c r="AG259" s="269">
        <v>0</v>
      </c>
      <c r="AH259" s="269">
        <v>0</v>
      </c>
      <c r="AI259" s="269">
        <v>0</v>
      </c>
      <c r="AJ259" s="269">
        <v>69122</v>
      </c>
      <c r="AK259" s="269">
        <v>1101967</v>
      </c>
      <c r="AL259" s="269">
        <v>0</v>
      </c>
      <c r="AM259" s="269">
        <v>0</v>
      </c>
      <c r="AN259" s="269">
        <v>426692</v>
      </c>
      <c r="AO259" s="269">
        <v>1439440</v>
      </c>
      <c r="AP259" s="269">
        <v>0</v>
      </c>
      <c r="AQ259" s="269">
        <v>0</v>
      </c>
      <c r="AR259" s="269">
        <v>2389543</v>
      </c>
      <c r="AS259" s="269">
        <v>175085</v>
      </c>
      <c r="AT259" s="269">
        <v>31552</v>
      </c>
      <c r="AU259" s="269">
        <v>252247</v>
      </c>
      <c r="AV259" s="269">
        <v>1014141</v>
      </c>
      <c r="AW259" s="269">
        <v>0</v>
      </c>
      <c r="AX259" s="269">
        <v>25810</v>
      </c>
      <c r="AY259" s="269">
        <v>250198</v>
      </c>
      <c r="AZ259" s="269">
        <v>413921</v>
      </c>
      <c r="BA259" s="269">
        <v>499718</v>
      </c>
      <c r="BB259" s="269">
        <v>0</v>
      </c>
      <c r="BC259" s="269">
        <v>0</v>
      </c>
      <c r="BD259" s="269">
        <v>0</v>
      </c>
      <c r="BE259" s="269">
        <v>0</v>
      </c>
      <c r="BF259" s="269">
        <v>0</v>
      </c>
      <c r="BG259" s="269">
        <v>0</v>
      </c>
      <c r="BH259" s="269">
        <v>0</v>
      </c>
      <c r="BI259" s="269">
        <v>295217</v>
      </c>
      <c r="BJ259" s="269">
        <v>437271</v>
      </c>
      <c r="BK259" s="269">
        <v>0</v>
      </c>
      <c r="BL259" s="269">
        <v>347950</v>
      </c>
      <c r="BM259" s="269">
        <v>275144</v>
      </c>
      <c r="BN259" s="269">
        <v>0</v>
      </c>
      <c r="BO259" s="269">
        <v>684323</v>
      </c>
      <c r="BP259" s="269">
        <v>57618</v>
      </c>
      <c r="BQ259" s="269">
        <v>54750</v>
      </c>
      <c r="BR259" s="269">
        <v>232753</v>
      </c>
      <c r="BS259" s="269">
        <v>0</v>
      </c>
      <c r="BT259" s="269">
        <v>2199505</v>
      </c>
      <c r="BU259" s="269">
        <v>304085</v>
      </c>
      <c r="BV259" s="269">
        <v>463415</v>
      </c>
      <c r="BW259" s="269">
        <v>20009</v>
      </c>
      <c r="BX259" s="269">
        <v>0</v>
      </c>
      <c r="BY259" s="269">
        <v>0</v>
      </c>
      <c r="BZ259" s="269">
        <v>0</v>
      </c>
      <c r="CA259" s="269">
        <v>621186</v>
      </c>
      <c r="CB259" s="269">
        <v>0</v>
      </c>
    </row>
    <row r="260" spans="1:80" x14ac:dyDescent="0.3">
      <c r="B260" s="269">
        <v>600</v>
      </c>
      <c r="C260" s="269" t="s">
        <v>931</v>
      </c>
    </row>
    <row r="261" spans="1:80" x14ac:dyDescent="0.3">
      <c r="B261" s="269">
        <v>601</v>
      </c>
      <c r="C261" s="269" t="s">
        <v>932</v>
      </c>
    </row>
    <row r="262" spans="1:80" x14ac:dyDescent="0.3">
      <c r="A262" s="269">
        <v>602</v>
      </c>
      <c r="B262" s="269">
        <v>602</v>
      </c>
      <c r="C262" s="269" t="s">
        <v>707</v>
      </c>
      <c r="E262" s="269">
        <v>0</v>
      </c>
      <c r="F262" s="269">
        <v>0</v>
      </c>
      <c r="G262" s="269">
        <v>0</v>
      </c>
      <c r="H262" s="269">
        <v>0</v>
      </c>
      <c r="I262" s="269">
        <v>0</v>
      </c>
      <c r="J262" s="269">
        <v>0</v>
      </c>
      <c r="K262" s="269">
        <v>0</v>
      </c>
      <c r="L262" s="269">
        <v>0</v>
      </c>
      <c r="M262" s="269">
        <v>0</v>
      </c>
      <c r="N262" s="269">
        <v>0</v>
      </c>
      <c r="O262" s="269">
        <v>0</v>
      </c>
      <c r="P262" s="269">
        <v>0</v>
      </c>
      <c r="Q262" s="269">
        <v>0</v>
      </c>
      <c r="R262" s="269">
        <v>0</v>
      </c>
      <c r="S262" s="269">
        <v>0</v>
      </c>
      <c r="T262" s="269">
        <v>0</v>
      </c>
      <c r="U262" s="269">
        <v>0</v>
      </c>
      <c r="V262" s="269">
        <v>0</v>
      </c>
      <c r="W262" s="269">
        <v>0</v>
      </c>
      <c r="X262" s="269">
        <v>0</v>
      </c>
      <c r="Y262" s="269">
        <v>0</v>
      </c>
      <c r="Z262" s="269">
        <v>0</v>
      </c>
      <c r="AA262" s="269">
        <v>0</v>
      </c>
      <c r="AB262" s="269">
        <v>0</v>
      </c>
      <c r="AC262" s="269">
        <v>0</v>
      </c>
      <c r="AD262" s="269">
        <v>0</v>
      </c>
      <c r="AE262" s="269">
        <v>0</v>
      </c>
      <c r="AF262" s="269">
        <v>0</v>
      </c>
      <c r="AG262" s="269">
        <v>0</v>
      </c>
      <c r="AH262" s="269">
        <v>0</v>
      </c>
      <c r="AI262" s="269">
        <v>0</v>
      </c>
      <c r="AJ262" s="269">
        <v>0</v>
      </c>
      <c r="AK262" s="269">
        <v>0</v>
      </c>
      <c r="AL262" s="269">
        <v>0</v>
      </c>
      <c r="AM262" s="269">
        <v>0</v>
      </c>
      <c r="AN262" s="269">
        <v>0</v>
      </c>
      <c r="AO262" s="269">
        <v>0</v>
      </c>
      <c r="AP262" s="269">
        <v>0</v>
      </c>
      <c r="AQ262" s="269">
        <v>0</v>
      </c>
      <c r="AR262" s="269">
        <v>0</v>
      </c>
      <c r="AS262" s="269">
        <v>0</v>
      </c>
      <c r="AT262" s="269">
        <v>0</v>
      </c>
      <c r="AU262" s="269">
        <v>0</v>
      </c>
      <c r="AV262" s="269">
        <v>0</v>
      </c>
      <c r="AW262" s="269">
        <v>0</v>
      </c>
      <c r="AX262" s="269">
        <v>0</v>
      </c>
      <c r="AY262" s="269">
        <v>0</v>
      </c>
      <c r="AZ262" s="269">
        <v>0</v>
      </c>
      <c r="BA262" s="269">
        <v>0</v>
      </c>
      <c r="BB262" s="269">
        <v>0</v>
      </c>
      <c r="BC262" s="269">
        <v>0</v>
      </c>
      <c r="BD262" s="269">
        <v>0</v>
      </c>
      <c r="BE262" s="269">
        <v>0</v>
      </c>
      <c r="BF262" s="269">
        <v>0</v>
      </c>
      <c r="BG262" s="269">
        <v>0</v>
      </c>
      <c r="BH262" s="269">
        <v>0</v>
      </c>
      <c r="BI262" s="269">
        <v>0</v>
      </c>
      <c r="BJ262" s="269">
        <v>0</v>
      </c>
      <c r="BK262" s="269">
        <v>0</v>
      </c>
      <c r="BL262" s="269">
        <v>0</v>
      </c>
      <c r="BM262" s="269">
        <v>0</v>
      </c>
      <c r="BN262" s="269">
        <v>0</v>
      </c>
      <c r="BO262" s="269">
        <v>0</v>
      </c>
      <c r="BP262" s="269">
        <v>0</v>
      </c>
      <c r="BQ262" s="269">
        <v>0</v>
      </c>
      <c r="BR262" s="269">
        <v>0</v>
      </c>
      <c r="BS262" s="269">
        <v>0</v>
      </c>
      <c r="BT262" s="269">
        <v>0</v>
      </c>
      <c r="BU262" s="269">
        <v>0</v>
      </c>
      <c r="BV262" s="269">
        <v>0</v>
      </c>
      <c r="BW262" s="269">
        <v>0</v>
      </c>
      <c r="BX262" s="269">
        <v>0</v>
      </c>
      <c r="BY262" s="269">
        <v>0</v>
      </c>
      <c r="BZ262" s="269">
        <v>0</v>
      </c>
      <c r="CA262" s="269">
        <v>0</v>
      </c>
      <c r="CB262" s="269">
        <v>0</v>
      </c>
    </row>
    <row r="263" spans="1:80" x14ac:dyDescent="0.3">
      <c r="A263" s="269">
        <v>603</v>
      </c>
      <c r="B263" s="269">
        <v>603</v>
      </c>
      <c r="C263" s="269" t="s">
        <v>693</v>
      </c>
      <c r="E263" s="269">
        <v>5</v>
      </c>
      <c r="F263" s="269">
        <v>1</v>
      </c>
      <c r="G263" s="269">
        <v>0</v>
      </c>
      <c r="H263" s="269">
        <v>1</v>
      </c>
      <c r="I263" s="269">
        <v>1</v>
      </c>
      <c r="J263" s="269">
        <v>4</v>
      </c>
      <c r="K263" s="269">
        <v>2</v>
      </c>
      <c r="L263" s="269">
        <v>4</v>
      </c>
      <c r="M263" s="269">
        <v>1</v>
      </c>
      <c r="N263" s="269">
        <v>1</v>
      </c>
      <c r="O263" s="269">
        <v>5</v>
      </c>
      <c r="P263" s="269">
        <v>2</v>
      </c>
      <c r="Q263" s="269">
        <v>1</v>
      </c>
      <c r="R263" s="269">
        <v>1</v>
      </c>
      <c r="S263" s="269">
        <v>1</v>
      </c>
      <c r="T263" s="269">
        <v>1</v>
      </c>
      <c r="U263" s="269">
        <v>0</v>
      </c>
      <c r="V263" s="269">
        <v>2</v>
      </c>
      <c r="W263" s="269">
        <v>4</v>
      </c>
      <c r="X263" s="269">
        <v>1</v>
      </c>
      <c r="Y263" s="269">
        <v>2</v>
      </c>
      <c r="Z263" s="269">
        <v>1</v>
      </c>
      <c r="AA263" s="269">
        <v>2</v>
      </c>
      <c r="AB263" s="269">
        <v>2</v>
      </c>
      <c r="AC263" s="269">
        <v>1</v>
      </c>
      <c r="AD263" s="269">
        <v>1</v>
      </c>
      <c r="AE263" s="269">
        <v>4</v>
      </c>
      <c r="AF263" s="269">
        <v>5</v>
      </c>
      <c r="AG263" s="269">
        <v>1</v>
      </c>
      <c r="AH263" s="269">
        <v>2</v>
      </c>
      <c r="AI263" s="269">
        <v>2</v>
      </c>
      <c r="AJ263" s="269">
        <v>1</v>
      </c>
      <c r="AK263" s="269">
        <v>2</v>
      </c>
      <c r="AL263" s="269">
        <v>2</v>
      </c>
      <c r="AM263" s="269">
        <v>1</v>
      </c>
      <c r="AN263" s="269">
        <v>2</v>
      </c>
      <c r="AO263" s="269">
        <v>2</v>
      </c>
      <c r="AP263" s="269">
        <v>1</v>
      </c>
      <c r="AQ263" s="269">
        <v>1</v>
      </c>
      <c r="AR263" s="269">
        <v>1</v>
      </c>
      <c r="AS263" s="269">
        <v>2</v>
      </c>
      <c r="AT263" s="269">
        <v>4</v>
      </c>
      <c r="AU263" s="269">
        <v>2</v>
      </c>
      <c r="AV263" s="269">
        <v>2</v>
      </c>
      <c r="AW263" s="269">
        <v>2</v>
      </c>
      <c r="AX263" s="269">
        <v>1</v>
      </c>
      <c r="AY263" s="269">
        <v>1</v>
      </c>
      <c r="AZ263" s="269">
        <v>2</v>
      </c>
      <c r="BA263" s="269">
        <v>4</v>
      </c>
      <c r="BB263" s="269">
        <v>5</v>
      </c>
      <c r="BC263" s="269">
        <v>0</v>
      </c>
      <c r="BD263" s="269">
        <v>0</v>
      </c>
      <c r="BE263" s="269">
        <v>2</v>
      </c>
      <c r="BF263" s="269">
        <v>0</v>
      </c>
      <c r="BG263" s="269">
        <v>5</v>
      </c>
      <c r="BH263" s="269">
        <v>2</v>
      </c>
      <c r="BI263" s="269">
        <v>1</v>
      </c>
      <c r="BJ263" s="269">
        <v>2</v>
      </c>
      <c r="BK263" s="269">
        <v>0</v>
      </c>
      <c r="BL263" s="269">
        <v>2</v>
      </c>
      <c r="BM263" s="269">
        <v>1</v>
      </c>
      <c r="BN263" s="269">
        <v>2</v>
      </c>
      <c r="BO263" s="269">
        <v>1</v>
      </c>
      <c r="BP263" s="269">
        <v>4</v>
      </c>
      <c r="BQ263" s="269">
        <v>2</v>
      </c>
      <c r="BR263" s="269">
        <v>1</v>
      </c>
      <c r="BS263" s="269">
        <v>2</v>
      </c>
      <c r="BT263" s="269">
        <v>2</v>
      </c>
      <c r="BU263" s="269">
        <v>2</v>
      </c>
      <c r="BV263" s="269">
        <v>2</v>
      </c>
      <c r="BW263" s="269">
        <v>4</v>
      </c>
      <c r="BX263" s="269">
        <v>1</v>
      </c>
      <c r="BY263" s="269">
        <v>2</v>
      </c>
      <c r="BZ263" s="269">
        <v>2</v>
      </c>
      <c r="CA263" s="269">
        <v>1</v>
      </c>
      <c r="CB263" s="269">
        <v>1</v>
      </c>
    </row>
    <row r="264" spans="1:80" x14ac:dyDescent="0.3">
      <c r="B264" s="269">
        <v>604</v>
      </c>
      <c r="C264" s="269" t="s">
        <v>694</v>
      </c>
      <c r="E264" s="269">
        <v>0</v>
      </c>
      <c r="F264" s="269">
        <v>0</v>
      </c>
      <c r="G264" s="269">
        <v>0</v>
      </c>
      <c r="H264" s="269">
        <v>0</v>
      </c>
      <c r="I264" s="269">
        <v>0</v>
      </c>
      <c r="J264" s="269">
        <v>0</v>
      </c>
      <c r="K264" s="269">
        <v>0</v>
      </c>
      <c r="L264" s="269">
        <v>0</v>
      </c>
      <c r="M264" s="269">
        <v>0</v>
      </c>
      <c r="N264" s="269">
        <v>0</v>
      </c>
      <c r="O264" s="269">
        <v>0</v>
      </c>
      <c r="P264" s="269">
        <v>0</v>
      </c>
      <c r="Q264" s="269">
        <v>0</v>
      </c>
      <c r="R264" s="269">
        <v>0</v>
      </c>
      <c r="S264" s="269">
        <v>0</v>
      </c>
      <c r="T264" s="269">
        <v>0</v>
      </c>
      <c r="U264" s="269">
        <v>0</v>
      </c>
      <c r="V264" s="269">
        <v>0</v>
      </c>
      <c r="W264" s="269">
        <v>0</v>
      </c>
      <c r="X264" s="269">
        <v>0</v>
      </c>
      <c r="Y264" s="269">
        <v>0</v>
      </c>
      <c r="Z264" s="269">
        <v>0</v>
      </c>
      <c r="AA264" s="269">
        <v>0</v>
      </c>
      <c r="AB264" s="269">
        <v>0</v>
      </c>
      <c r="AC264" s="269">
        <v>0</v>
      </c>
      <c r="AD264" s="269">
        <v>0</v>
      </c>
      <c r="AE264" s="269">
        <v>0</v>
      </c>
      <c r="AF264" s="269">
        <v>0</v>
      </c>
      <c r="AG264" s="269">
        <v>0</v>
      </c>
      <c r="AH264" s="269">
        <v>0</v>
      </c>
      <c r="AI264" s="269">
        <v>0</v>
      </c>
      <c r="AJ264" s="269">
        <v>0</v>
      </c>
      <c r="AK264" s="269">
        <v>0</v>
      </c>
      <c r="AL264" s="269">
        <v>0</v>
      </c>
      <c r="AM264" s="269">
        <v>0</v>
      </c>
      <c r="AN264" s="269">
        <v>0</v>
      </c>
      <c r="AO264" s="269">
        <v>0</v>
      </c>
      <c r="AP264" s="269">
        <v>0</v>
      </c>
      <c r="AQ264" s="269">
        <v>0</v>
      </c>
      <c r="AR264" s="269">
        <v>0</v>
      </c>
      <c r="AS264" s="269">
        <v>0</v>
      </c>
      <c r="AT264" s="269">
        <v>0</v>
      </c>
      <c r="AU264" s="269">
        <v>0</v>
      </c>
      <c r="AV264" s="269">
        <v>0</v>
      </c>
      <c r="AW264" s="269">
        <v>0</v>
      </c>
      <c r="AX264" s="269">
        <v>0</v>
      </c>
      <c r="AY264" s="269">
        <v>0</v>
      </c>
      <c r="AZ264" s="269">
        <v>0</v>
      </c>
      <c r="BA264" s="269">
        <v>0</v>
      </c>
      <c r="BB264" s="269">
        <v>0</v>
      </c>
      <c r="BC264" s="269">
        <v>0</v>
      </c>
      <c r="BD264" s="269">
        <v>0</v>
      </c>
      <c r="BE264" s="269">
        <v>0</v>
      </c>
      <c r="BF264" s="269">
        <v>0</v>
      </c>
      <c r="BG264" s="269">
        <v>0</v>
      </c>
      <c r="BH264" s="269">
        <v>0</v>
      </c>
      <c r="BI264" s="269">
        <v>0</v>
      </c>
      <c r="BJ264" s="269">
        <v>0</v>
      </c>
      <c r="BK264" s="269">
        <v>0</v>
      </c>
      <c r="BL264" s="269">
        <v>0</v>
      </c>
      <c r="BM264" s="269">
        <v>0</v>
      </c>
      <c r="BN264" s="269">
        <v>0</v>
      </c>
      <c r="BO264" s="269">
        <v>0</v>
      </c>
      <c r="BP264" s="269">
        <v>0</v>
      </c>
      <c r="BQ264" s="269">
        <v>0</v>
      </c>
      <c r="BR264" s="269">
        <v>0</v>
      </c>
      <c r="BS264" s="269">
        <v>0</v>
      </c>
      <c r="BT264" s="269">
        <v>0</v>
      </c>
      <c r="BU264" s="269">
        <v>0</v>
      </c>
      <c r="BV264" s="269">
        <v>0</v>
      </c>
      <c r="BW264" s="269">
        <v>0</v>
      </c>
      <c r="BX264" s="269">
        <v>0</v>
      </c>
      <c r="BY264" s="269">
        <v>0</v>
      </c>
      <c r="BZ264" s="269">
        <v>0</v>
      </c>
      <c r="CA264" s="269">
        <v>0</v>
      </c>
      <c r="CB264" s="269">
        <v>0</v>
      </c>
    </row>
    <row r="265" spans="1:80" x14ac:dyDescent="0.3">
      <c r="A265" s="269">
        <v>605</v>
      </c>
      <c r="B265" s="269">
        <v>605</v>
      </c>
      <c r="C265" s="269" t="s">
        <v>696</v>
      </c>
      <c r="E265" s="269">
        <v>1</v>
      </c>
      <c r="F265" s="269">
        <v>1</v>
      </c>
      <c r="G265" s="269">
        <v>0</v>
      </c>
      <c r="H265" s="269">
        <v>1</v>
      </c>
      <c r="I265" s="269">
        <v>1</v>
      </c>
      <c r="J265" s="269">
        <v>1</v>
      </c>
      <c r="K265" s="269">
        <v>1</v>
      </c>
      <c r="L265" s="269">
        <v>1</v>
      </c>
      <c r="M265" s="269">
        <v>1</v>
      </c>
      <c r="N265" s="269">
        <v>1</v>
      </c>
      <c r="O265" s="269">
        <v>1</v>
      </c>
      <c r="P265" s="269">
        <v>1</v>
      </c>
      <c r="Q265" s="269">
        <v>1</v>
      </c>
      <c r="R265" s="269">
        <v>1</v>
      </c>
      <c r="S265" s="269">
        <v>1</v>
      </c>
      <c r="T265" s="269">
        <v>1</v>
      </c>
      <c r="U265" s="269">
        <v>0</v>
      </c>
      <c r="V265" s="269">
        <v>2</v>
      </c>
      <c r="W265" s="269">
        <v>1</v>
      </c>
      <c r="X265" s="269">
        <v>1</v>
      </c>
      <c r="Y265" s="269">
        <v>1</v>
      </c>
      <c r="Z265" s="269">
        <v>1</v>
      </c>
      <c r="AA265" s="269">
        <v>1</v>
      </c>
      <c r="AB265" s="269">
        <v>1</v>
      </c>
      <c r="AC265" s="269">
        <v>1</v>
      </c>
      <c r="AD265" s="269">
        <v>1</v>
      </c>
      <c r="AE265" s="269">
        <v>1</v>
      </c>
      <c r="AF265" s="269">
        <v>1</v>
      </c>
      <c r="AG265" s="269">
        <v>1</v>
      </c>
      <c r="AH265" s="269">
        <v>1</v>
      </c>
      <c r="AI265" s="269">
        <v>1</v>
      </c>
      <c r="AJ265" s="269">
        <v>1</v>
      </c>
      <c r="AK265" s="269">
        <v>1</v>
      </c>
      <c r="AL265" s="269">
        <v>1</v>
      </c>
      <c r="AM265" s="269">
        <v>1</v>
      </c>
      <c r="AN265" s="269">
        <v>1</v>
      </c>
      <c r="AO265" s="269">
        <v>1</v>
      </c>
      <c r="AP265" s="269">
        <v>1</v>
      </c>
      <c r="AQ265" s="269">
        <v>1</v>
      </c>
      <c r="AR265" s="269">
        <v>1</v>
      </c>
      <c r="AS265" s="269">
        <v>1</v>
      </c>
      <c r="AT265" s="269">
        <v>1</v>
      </c>
      <c r="AU265" s="269">
        <v>1</v>
      </c>
      <c r="AV265" s="269">
        <v>1</v>
      </c>
      <c r="AW265" s="269">
        <v>1</v>
      </c>
      <c r="AX265" s="269">
        <v>1</v>
      </c>
      <c r="AY265" s="269">
        <v>1</v>
      </c>
      <c r="AZ265" s="269">
        <v>1</v>
      </c>
      <c r="BA265" s="269">
        <v>1</v>
      </c>
      <c r="BB265" s="269">
        <v>1</v>
      </c>
      <c r="BC265" s="269">
        <v>0</v>
      </c>
      <c r="BD265" s="269">
        <v>0</v>
      </c>
      <c r="BE265" s="269">
        <v>1</v>
      </c>
      <c r="BF265" s="269">
        <v>0</v>
      </c>
      <c r="BG265" s="269">
        <v>1</v>
      </c>
      <c r="BH265" s="269">
        <v>1</v>
      </c>
      <c r="BI265" s="269">
        <v>1</v>
      </c>
      <c r="BJ265" s="269">
        <v>1</v>
      </c>
      <c r="BK265" s="269">
        <v>0</v>
      </c>
      <c r="BL265" s="269">
        <v>1</v>
      </c>
      <c r="BM265" s="269">
        <v>1</v>
      </c>
      <c r="BN265" s="269">
        <v>1</v>
      </c>
      <c r="BO265" s="269">
        <v>1</v>
      </c>
      <c r="BP265" s="269">
        <v>1</v>
      </c>
      <c r="BQ265" s="269">
        <v>1</v>
      </c>
      <c r="BR265" s="269">
        <v>1</v>
      </c>
      <c r="BS265" s="269">
        <v>1</v>
      </c>
      <c r="BT265" s="269">
        <v>1</v>
      </c>
      <c r="BU265" s="269">
        <v>1</v>
      </c>
      <c r="BV265" s="269">
        <v>1</v>
      </c>
      <c r="BW265" s="269">
        <v>1</v>
      </c>
      <c r="BX265" s="269">
        <v>1</v>
      </c>
      <c r="BY265" s="269">
        <v>1</v>
      </c>
      <c r="BZ265" s="269">
        <v>1</v>
      </c>
      <c r="CA265" s="269">
        <v>1</v>
      </c>
      <c r="CB265" s="269">
        <v>1</v>
      </c>
    </row>
    <row r="266" spans="1:80" x14ac:dyDescent="0.3">
      <c r="A266" s="269">
        <v>606</v>
      </c>
      <c r="B266" s="269">
        <v>606</v>
      </c>
      <c r="C266" s="269" t="s">
        <v>715</v>
      </c>
      <c r="E266" s="269">
        <v>1</v>
      </c>
      <c r="F266" s="269">
        <v>1</v>
      </c>
      <c r="G266" s="269">
        <v>0</v>
      </c>
      <c r="H266" s="269">
        <v>1</v>
      </c>
      <c r="I266" s="269">
        <v>0</v>
      </c>
      <c r="J266" s="269">
        <v>0</v>
      </c>
      <c r="K266" s="269">
        <v>0</v>
      </c>
      <c r="L266" s="269">
        <v>1</v>
      </c>
      <c r="M266" s="269">
        <v>1</v>
      </c>
      <c r="N266" s="269">
        <v>0</v>
      </c>
      <c r="O266" s="269">
        <v>0</v>
      </c>
      <c r="P266" s="269">
        <v>0</v>
      </c>
      <c r="Q266" s="269">
        <v>1</v>
      </c>
      <c r="R266" s="269">
        <v>0</v>
      </c>
      <c r="S266" s="269">
        <v>0</v>
      </c>
      <c r="T266" s="269">
        <v>1</v>
      </c>
      <c r="U266" s="269">
        <v>0</v>
      </c>
      <c r="V266" s="269">
        <v>1</v>
      </c>
      <c r="W266" s="269">
        <v>0</v>
      </c>
      <c r="X266" s="269">
        <v>0</v>
      </c>
      <c r="Y266" s="269">
        <v>0</v>
      </c>
      <c r="Z266" s="269">
        <v>0</v>
      </c>
      <c r="AA266" s="269">
        <v>0</v>
      </c>
      <c r="AB266" s="269">
        <v>0</v>
      </c>
      <c r="AC266" s="269">
        <v>0</v>
      </c>
      <c r="AD266" s="269">
        <v>0</v>
      </c>
      <c r="AE266" s="269">
        <v>0</v>
      </c>
      <c r="AF266" s="269">
        <v>0</v>
      </c>
      <c r="AG266" s="269">
        <v>0</v>
      </c>
      <c r="AH266" s="269">
        <v>0</v>
      </c>
      <c r="AI266" s="269">
        <v>0</v>
      </c>
      <c r="AJ266" s="269">
        <v>0</v>
      </c>
      <c r="AK266" s="269">
        <v>1</v>
      </c>
      <c r="AL266" s="269">
        <v>0</v>
      </c>
      <c r="AM266" s="269">
        <v>0</v>
      </c>
      <c r="AN266" s="269">
        <v>1</v>
      </c>
      <c r="AO266" s="269">
        <v>1</v>
      </c>
      <c r="AP266" s="269">
        <v>0</v>
      </c>
      <c r="AQ266" s="269">
        <v>0</v>
      </c>
      <c r="AR266" s="269">
        <v>1</v>
      </c>
      <c r="AS266" s="269">
        <v>0</v>
      </c>
      <c r="AT266" s="269">
        <v>0</v>
      </c>
      <c r="AU266" s="269">
        <v>0</v>
      </c>
      <c r="AV266" s="269">
        <v>1</v>
      </c>
      <c r="AW266" s="269">
        <v>0</v>
      </c>
      <c r="AX266" s="269">
        <v>0</v>
      </c>
      <c r="AY266" s="269">
        <v>0</v>
      </c>
      <c r="AZ266" s="269">
        <v>1</v>
      </c>
      <c r="BA266" s="269">
        <v>0</v>
      </c>
      <c r="BB266" s="269">
        <v>0</v>
      </c>
      <c r="BC266" s="269">
        <v>0</v>
      </c>
      <c r="BD266" s="269">
        <v>0</v>
      </c>
      <c r="BE266" s="269">
        <v>0</v>
      </c>
      <c r="BF266" s="269">
        <v>0</v>
      </c>
      <c r="BG266" s="269">
        <v>0</v>
      </c>
      <c r="BH266" s="269">
        <v>0</v>
      </c>
      <c r="BI266" s="269">
        <v>0</v>
      </c>
      <c r="BJ266" s="269">
        <v>0</v>
      </c>
      <c r="BK266" s="269">
        <v>0</v>
      </c>
      <c r="BL266" s="269">
        <v>0</v>
      </c>
      <c r="BM266" s="269">
        <v>0</v>
      </c>
      <c r="BN266" s="269">
        <v>0</v>
      </c>
      <c r="BO266" s="269">
        <v>1</v>
      </c>
      <c r="BP266" s="269">
        <v>0</v>
      </c>
      <c r="BQ266" s="269">
        <v>1</v>
      </c>
      <c r="BR266" s="269">
        <v>0</v>
      </c>
      <c r="BS266" s="269">
        <v>0</v>
      </c>
      <c r="BT266" s="269">
        <v>1</v>
      </c>
      <c r="BU266" s="269">
        <v>0</v>
      </c>
      <c r="BV266" s="269">
        <v>0</v>
      </c>
      <c r="BW266" s="269">
        <v>0</v>
      </c>
      <c r="BX266" s="269">
        <v>1</v>
      </c>
      <c r="BY266" s="269">
        <v>0</v>
      </c>
      <c r="BZ266" s="269">
        <v>0</v>
      </c>
      <c r="CA266" s="269">
        <v>1</v>
      </c>
      <c r="CB266" s="269">
        <v>0</v>
      </c>
    </row>
    <row r="267" spans="1:80" x14ac:dyDescent="0.3">
      <c r="A267" s="269">
        <v>607</v>
      </c>
      <c r="B267" s="269">
        <v>607</v>
      </c>
      <c r="C267" s="269" t="s">
        <v>686</v>
      </c>
      <c r="E267" s="269">
        <v>0</v>
      </c>
      <c r="F267" s="269">
        <v>0</v>
      </c>
      <c r="G267" s="269">
        <v>0</v>
      </c>
      <c r="H267" s="269">
        <v>1769155</v>
      </c>
      <c r="I267" s="269">
        <v>404555</v>
      </c>
      <c r="J267" s="269">
        <v>493142</v>
      </c>
      <c r="K267" s="269">
        <v>0</v>
      </c>
      <c r="L267" s="269">
        <v>397022</v>
      </c>
      <c r="M267" s="269">
        <v>45979353</v>
      </c>
      <c r="N267" s="269">
        <v>0</v>
      </c>
      <c r="O267" s="269">
        <v>1165326</v>
      </c>
      <c r="P267" s="269">
        <v>0</v>
      </c>
      <c r="Q267" s="269">
        <v>12173463</v>
      </c>
      <c r="R267" s="269">
        <v>7390209</v>
      </c>
      <c r="S267" s="269">
        <v>204382</v>
      </c>
      <c r="T267" s="269">
        <v>9866082</v>
      </c>
      <c r="U267" s="269">
        <v>0</v>
      </c>
      <c r="V267" s="269">
        <v>4743598</v>
      </c>
      <c r="W267" s="269">
        <v>0</v>
      </c>
      <c r="X267" s="269">
        <v>1619688</v>
      </c>
      <c r="Y267" s="269">
        <v>6502587</v>
      </c>
      <c r="Z267" s="269">
        <v>1962656</v>
      </c>
      <c r="AA267" s="269">
        <v>64890</v>
      </c>
      <c r="AB267" s="269">
        <v>0</v>
      </c>
      <c r="AC267" s="269">
        <v>0</v>
      </c>
      <c r="AD267" s="269">
        <v>0</v>
      </c>
      <c r="AE267" s="269">
        <v>0</v>
      </c>
      <c r="AF267" s="269">
        <v>0</v>
      </c>
      <c r="AG267" s="269">
        <v>0</v>
      </c>
      <c r="AH267" s="269">
        <v>0</v>
      </c>
      <c r="AI267" s="269">
        <v>0</v>
      </c>
      <c r="AJ267" s="269">
        <v>0</v>
      </c>
      <c r="AK267" s="269">
        <v>2011980</v>
      </c>
      <c r="AL267" s="269">
        <v>0</v>
      </c>
      <c r="AM267" s="269">
        <v>0</v>
      </c>
      <c r="AN267" s="269">
        <v>0</v>
      </c>
      <c r="AO267" s="269">
        <v>2843310</v>
      </c>
      <c r="AP267" s="269">
        <v>0</v>
      </c>
      <c r="AQ267" s="269">
        <v>0</v>
      </c>
      <c r="AR267" s="269">
        <v>17324385</v>
      </c>
      <c r="AS267" s="269">
        <v>0</v>
      </c>
      <c r="AT267" s="269">
        <v>307115</v>
      </c>
      <c r="AU267" s="269">
        <v>835900</v>
      </c>
      <c r="AV267" s="269">
        <v>11546868</v>
      </c>
      <c r="AW267" s="269">
        <v>0</v>
      </c>
      <c r="AX267" s="269">
        <v>0</v>
      </c>
      <c r="AY267" s="269">
        <v>0</v>
      </c>
      <c r="AZ267" s="269">
        <v>108680</v>
      </c>
      <c r="BA267" s="269">
        <v>1452160</v>
      </c>
      <c r="BB267" s="269">
        <v>0</v>
      </c>
      <c r="BC267" s="269">
        <v>0</v>
      </c>
      <c r="BD267" s="269">
        <v>0</v>
      </c>
      <c r="BE267" s="269">
        <v>0</v>
      </c>
      <c r="BF267" s="269">
        <v>0</v>
      </c>
      <c r="BG267" s="269">
        <v>0</v>
      </c>
      <c r="BH267" s="269">
        <v>0</v>
      </c>
      <c r="BI267" s="269">
        <v>3089589</v>
      </c>
      <c r="BJ267" s="269">
        <v>183213</v>
      </c>
      <c r="BK267" s="269">
        <v>0</v>
      </c>
      <c r="BL267" s="269">
        <v>457206</v>
      </c>
      <c r="BM267" s="269">
        <v>2310695</v>
      </c>
      <c r="BN267" s="269">
        <v>0</v>
      </c>
      <c r="BO267" s="269">
        <v>130107</v>
      </c>
      <c r="BP267" s="269">
        <v>0</v>
      </c>
      <c r="BQ267" s="269">
        <v>0</v>
      </c>
      <c r="BR267" s="269">
        <v>0</v>
      </c>
      <c r="BS267" s="269">
        <v>0</v>
      </c>
      <c r="BT267" s="269">
        <v>0</v>
      </c>
      <c r="BU267" s="269">
        <v>0</v>
      </c>
      <c r="BV267" s="269">
        <v>4605268</v>
      </c>
      <c r="BW267" s="269">
        <v>0</v>
      </c>
      <c r="BX267" s="269">
        <v>0</v>
      </c>
      <c r="BY267" s="269">
        <v>0</v>
      </c>
      <c r="BZ267" s="269">
        <v>0</v>
      </c>
      <c r="CA267" s="269">
        <v>6176707</v>
      </c>
      <c r="CB267" s="269">
        <v>0</v>
      </c>
    </row>
    <row r="268" spans="1:80" x14ac:dyDescent="0.3">
      <c r="A268" s="269">
        <v>608</v>
      </c>
      <c r="B268" s="269">
        <v>608</v>
      </c>
      <c r="C268" s="269" t="s">
        <v>687</v>
      </c>
      <c r="E268" s="269">
        <v>0</v>
      </c>
      <c r="F268" s="269">
        <v>0</v>
      </c>
      <c r="G268" s="269">
        <v>0</v>
      </c>
      <c r="H268" s="269">
        <v>0</v>
      </c>
      <c r="I268" s="269">
        <v>0</v>
      </c>
      <c r="J268" s="269">
        <v>0</v>
      </c>
      <c r="K268" s="269">
        <v>0</v>
      </c>
      <c r="L268" s="269">
        <v>0</v>
      </c>
      <c r="M268" s="269">
        <v>0</v>
      </c>
      <c r="N268" s="269">
        <v>0</v>
      </c>
      <c r="O268" s="269">
        <v>0</v>
      </c>
      <c r="P268" s="269">
        <v>0</v>
      </c>
      <c r="Q268" s="269">
        <v>0</v>
      </c>
      <c r="R268" s="269">
        <v>0</v>
      </c>
      <c r="S268" s="269">
        <v>0</v>
      </c>
      <c r="T268" s="269">
        <v>0</v>
      </c>
      <c r="U268" s="269">
        <v>0</v>
      </c>
      <c r="V268" s="269">
        <v>0</v>
      </c>
      <c r="W268" s="269">
        <v>0</v>
      </c>
      <c r="X268" s="269">
        <v>0</v>
      </c>
      <c r="Y268" s="269">
        <v>0</v>
      </c>
      <c r="Z268" s="269">
        <v>0</v>
      </c>
      <c r="AA268" s="269">
        <v>0</v>
      </c>
      <c r="AB268" s="269">
        <v>0</v>
      </c>
      <c r="AC268" s="269">
        <v>0</v>
      </c>
      <c r="AD268" s="269">
        <v>0</v>
      </c>
      <c r="AE268" s="269">
        <v>0</v>
      </c>
      <c r="AF268" s="269">
        <v>0</v>
      </c>
      <c r="AG268" s="269">
        <v>0</v>
      </c>
      <c r="AH268" s="269">
        <v>0</v>
      </c>
      <c r="AI268" s="269">
        <v>0</v>
      </c>
      <c r="AJ268" s="269">
        <v>0</v>
      </c>
      <c r="AK268" s="269">
        <v>0</v>
      </c>
      <c r="AL268" s="269">
        <v>0</v>
      </c>
      <c r="AM268" s="269">
        <v>0</v>
      </c>
      <c r="AN268" s="269">
        <v>0</v>
      </c>
      <c r="AO268" s="269">
        <v>0</v>
      </c>
      <c r="AP268" s="269">
        <v>0</v>
      </c>
      <c r="AQ268" s="269">
        <v>0</v>
      </c>
      <c r="AR268" s="269">
        <v>0</v>
      </c>
      <c r="AS268" s="269">
        <v>0</v>
      </c>
      <c r="AT268" s="269">
        <v>0</v>
      </c>
      <c r="AU268" s="269">
        <v>0</v>
      </c>
      <c r="AV268" s="269">
        <v>0</v>
      </c>
      <c r="AW268" s="269">
        <v>0</v>
      </c>
      <c r="AX268" s="269">
        <v>0</v>
      </c>
      <c r="AY268" s="269">
        <v>0</v>
      </c>
      <c r="AZ268" s="269">
        <v>0</v>
      </c>
      <c r="BA268" s="269">
        <v>0</v>
      </c>
      <c r="BB268" s="269">
        <v>0</v>
      </c>
      <c r="BC268" s="269">
        <v>0</v>
      </c>
      <c r="BD268" s="269">
        <v>0</v>
      </c>
      <c r="BE268" s="269">
        <v>0</v>
      </c>
      <c r="BF268" s="269">
        <v>0</v>
      </c>
      <c r="BG268" s="269">
        <v>0</v>
      </c>
      <c r="BH268" s="269">
        <v>0</v>
      </c>
      <c r="BI268" s="269">
        <v>0</v>
      </c>
      <c r="BJ268" s="269">
        <v>0</v>
      </c>
      <c r="BK268" s="269">
        <v>0</v>
      </c>
      <c r="BL268" s="269">
        <v>0</v>
      </c>
      <c r="BM268" s="269">
        <v>0</v>
      </c>
      <c r="BN268" s="269">
        <v>0</v>
      </c>
      <c r="BO268" s="269">
        <v>0</v>
      </c>
      <c r="BP268" s="269">
        <v>0</v>
      </c>
      <c r="BQ268" s="269">
        <v>0</v>
      </c>
      <c r="BR268" s="269">
        <v>0</v>
      </c>
      <c r="BS268" s="269">
        <v>0</v>
      </c>
      <c r="BT268" s="269">
        <v>0</v>
      </c>
      <c r="BU268" s="269">
        <v>0</v>
      </c>
      <c r="BV268" s="269">
        <v>0</v>
      </c>
      <c r="BW268" s="269">
        <v>0</v>
      </c>
      <c r="BX268" s="269">
        <v>0</v>
      </c>
      <c r="BY268" s="269">
        <v>0</v>
      </c>
      <c r="BZ268" s="269">
        <v>0</v>
      </c>
      <c r="CA268" s="269">
        <v>0</v>
      </c>
      <c r="CB268" s="269">
        <v>0</v>
      </c>
    </row>
    <row r="269" spans="1:80" x14ac:dyDescent="0.3">
      <c r="A269" s="269">
        <v>609</v>
      </c>
      <c r="B269" s="269">
        <v>609</v>
      </c>
      <c r="C269" s="269" t="s">
        <v>708</v>
      </c>
      <c r="E269" s="1021">
        <v>0</v>
      </c>
      <c r="F269" s="1021">
        <v>0</v>
      </c>
      <c r="G269" s="1021">
        <v>0</v>
      </c>
      <c r="H269" s="1021">
        <v>0</v>
      </c>
      <c r="I269" s="1021">
        <v>0</v>
      </c>
      <c r="J269" s="1021">
        <v>0</v>
      </c>
      <c r="K269" s="1021">
        <v>0</v>
      </c>
      <c r="L269" s="1021">
        <v>0</v>
      </c>
      <c r="M269" s="1021">
        <v>0</v>
      </c>
      <c r="N269" s="1021">
        <v>0</v>
      </c>
      <c r="O269" s="1021">
        <v>0</v>
      </c>
      <c r="P269" s="1021">
        <v>0</v>
      </c>
      <c r="Q269" s="1021">
        <v>0</v>
      </c>
      <c r="R269" s="1021">
        <v>0</v>
      </c>
      <c r="S269" s="1021">
        <v>0</v>
      </c>
      <c r="T269" s="1021">
        <v>0</v>
      </c>
      <c r="U269" s="1021">
        <v>0</v>
      </c>
      <c r="V269" s="1021">
        <v>0</v>
      </c>
      <c r="W269" s="1021">
        <v>0</v>
      </c>
      <c r="X269" s="1021">
        <v>0</v>
      </c>
      <c r="Y269" s="1021">
        <v>0</v>
      </c>
      <c r="Z269" s="1021">
        <v>0</v>
      </c>
      <c r="AA269" s="1021">
        <v>0</v>
      </c>
      <c r="AB269" s="1021">
        <v>0</v>
      </c>
      <c r="AC269" s="1021">
        <v>0</v>
      </c>
      <c r="AD269" s="1021">
        <v>0</v>
      </c>
      <c r="AE269" s="1021">
        <v>0</v>
      </c>
      <c r="AF269" s="1021">
        <v>0</v>
      </c>
      <c r="AG269" s="1021">
        <v>0</v>
      </c>
      <c r="AH269" s="1021">
        <v>0</v>
      </c>
      <c r="AI269" s="1021">
        <v>0</v>
      </c>
      <c r="AJ269" s="1021">
        <v>0</v>
      </c>
      <c r="AK269" s="1021">
        <v>0</v>
      </c>
      <c r="AL269" s="1021">
        <v>0</v>
      </c>
      <c r="AM269" s="1021">
        <v>0</v>
      </c>
      <c r="AN269" s="1021">
        <v>0</v>
      </c>
      <c r="AO269" s="1021">
        <v>0</v>
      </c>
      <c r="AP269" s="1021">
        <v>0</v>
      </c>
      <c r="AQ269" s="1021">
        <v>0</v>
      </c>
      <c r="AR269" s="1021">
        <v>0</v>
      </c>
      <c r="AS269" s="1021">
        <v>0</v>
      </c>
      <c r="AT269" s="1021">
        <v>0</v>
      </c>
      <c r="AU269" s="1021">
        <v>0</v>
      </c>
      <c r="AV269" s="1021">
        <v>0</v>
      </c>
      <c r="AW269" s="1021">
        <v>0</v>
      </c>
      <c r="AX269" s="1021">
        <v>0</v>
      </c>
      <c r="AY269" s="1021">
        <v>0</v>
      </c>
      <c r="AZ269" s="1021">
        <v>0</v>
      </c>
      <c r="BA269" s="1021">
        <v>0</v>
      </c>
      <c r="BB269" s="1021">
        <v>0</v>
      </c>
      <c r="BC269" s="1021">
        <v>0</v>
      </c>
      <c r="BD269" s="1021">
        <v>0</v>
      </c>
      <c r="BE269" s="1021">
        <v>0</v>
      </c>
      <c r="BF269" s="1021">
        <v>0</v>
      </c>
      <c r="BG269" s="1021">
        <v>0</v>
      </c>
      <c r="BH269" s="1021">
        <v>0</v>
      </c>
      <c r="BI269" s="1021">
        <v>0</v>
      </c>
      <c r="BJ269" s="1021">
        <v>0</v>
      </c>
      <c r="BK269" s="1021">
        <v>0</v>
      </c>
      <c r="BL269" s="1021">
        <v>0</v>
      </c>
      <c r="BM269" s="1021">
        <v>0</v>
      </c>
      <c r="BN269" s="1021">
        <v>0</v>
      </c>
      <c r="BO269" s="1021">
        <v>0</v>
      </c>
      <c r="BP269" s="1021">
        <v>0</v>
      </c>
      <c r="BQ269" s="1021">
        <v>0</v>
      </c>
      <c r="BR269" s="1021">
        <v>0</v>
      </c>
      <c r="BS269" s="1021">
        <v>0</v>
      </c>
      <c r="BT269" s="1021">
        <v>0</v>
      </c>
      <c r="BU269" s="1021">
        <v>0</v>
      </c>
      <c r="BV269" s="1021">
        <v>0</v>
      </c>
      <c r="BW269" s="1021">
        <v>0</v>
      </c>
      <c r="BX269" s="1021">
        <v>0</v>
      </c>
      <c r="BY269" s="1021">
        <v>0</v>
      </c>
      <c r="BZ269" s="1021">
        <v>0</v>
      </c>
      <c r="CA269" s="1021">
        <v>0</v>
      </c>
      <c r="CB269" s="1021">
        <v>0</v>
      </c>
    </row>
    <row r="270" spans="1:80" x14ac:dyDescent="0.3">
      <c r="A270" s="269">
        <v>610</v>
      </c>
      <c r="B270" s="269">
        <v>610</v>
      </c>
      <c r="C270" s="269" t="s">
        <v>688</v>
      </c>
      <c r="E270" s="269">
        <v>0</v>
      </c>
      <c r="F270" s="269">
        <v>0</v>
      </c>
      <c r="G270" s="269">
        <v>0</v>
      </c>
      <c r="H270" s="269">
        <v>0</v>
      </c>
      <c r="I270" s="269">
        <v>0</v>
      </c>
      <c r="J270" s="269">
        <v>0</v>
      </c>
      <c r="K270" s="269">
        <v>0</v>
      </c>
      <c r="L270" s="269">
        <v>0</v>
      </c>
      <c r="M270" s="269">
        <v>0</v>
      </c>
      <c r="N270" s="269">
        <v>0</v>
      </c>
      <c r="O270" s="269">
        <v>0</v>
      </c>
      <c r="P270" s="269">
        <v>0</v>
      </c>
      <c r="Q270" s="269">
        <v>0</v>
      </c>
      <c r="R270" s="269">
        <v>0</v>
      </c>
      <c r="S270" s="269">
        <v>0</v>
      </c>
      <c r="T270" s="269">
        <v>0</v>
      </c>
      <c r="U270" s="269">
        <v>0</v>
      </c>
      <c r="V270" s="269">
        <v>0</v>
      </c>
      <c r="W270" s="269">
        <v>0</v>
      </c>
      <c r="X270" s="269">
        <v>0</v>
      </c>
      <c r="Y270" s="269">
        <v>0</v>
      </c>
      <c r="Z270" s="269">
        <v>0</v>
      </c>
      <c r="AA270" s="269">
        <v>0</v>
      </c>
      <c r="AB270" s="269">
        <v>0</v>
      </c>
      <c r="AC270" s="269">
        <v>0</v>
      </c>
      <c r="AD270" s="269">
        <v>0</v>
      </c>
      <c r="AE270" s="269">
        <v>0</v>
      </c>
      <c r="AF270" s="269">
        <v>0</v>
      </c>
      <c r="AG270" s="269">
        <v>0</v>
      </c>
      <c r="AH270" s="269">
        <v>0</v>
      </c>
      <c r="AI270" s="269">
        <v>0</v>
      </c>
      <c r="AJ270" s="269">
        <v>0</v>
      </c>
      <c r="AK270" s="269">
        <v>0</v>
      </c>
      <c r="AL270" s="269">
        <v>0</v>
      </c>
      <c r="AM270" s="269">
        <v>0</v>
      </c>
      <c r="AN270" s="269">
        <v>0</v>
      </c>
      <c r="AO270" s="269">
        <v>0</v>
      </c>
      <c r="AP270" s="269">
        <v>0</v>
      </c>
      <c r="AQ270" s="269">
        <v>0</v>
      </c>
      <c r="AR270" s="269">
        <v>0</v>
      </c>
      <c r="AS270" s="269">
        <v>0</v>
      </c>
      <c r="AT270" s="269">
        <v>0</v>
      </c>
      <c r="AU270" s="269">
        <v>0</v>
      </c>
      <c r="AV270" s="269">
        <v>0</v>
      </c>
      <c r="AW270" s="269">
        <v>0</v>
      </c>
      <c r="AX270" s="269">
        <v>0</v>
      </c>
      <c r="AY270" s="269">
        <v>0</v>
      </c>
      <c r="AZ270" s="269">
        <v>0</v>
      </c>
      <c r="BA270" s="269">
        <v>0</v>
      </c>
      <c r="BB270" s="269">
        <v>0</v>
      </c>
      <c r="BC270" s="269">
        <v>0</v>
      </c>
      <c r="BD270" s="269">
        <v>0</v>
      </c>
      <c r="BE270" s="269">
        <v>0</v>
      </c>
      <c r="BF270" s="269">
        <v>0</v>
      </c>
      <c r="BG270" s="269">
        <v>0</v>
      </c>
      <c r="BH270" s="269">
        <v>0</v>
      </c>
      <c r="BI270" s="269">
        <v>0</v>
      </c>
      <c r="BJ270" s="269">
        <v>0</v>
      </c>
      <c r="BK270" s="269">
        <v>0</v>
      </c>
      <c r="BL270" s="269">
        <v>0</v>
      </c>
      <c r="BM270" s="269">
        <v>0</v>
      </c>
      <c r="BN270" s="269">
        <v>0</v>
      </c>
      <c r="BO270" s="269">
        <v>0</v>
      </c>
      <c r="BP270" s="269">
        <v>0</v>
      </c>
      <c r="BQ270" s="269">
        <v>0</v>
      </c>
      <c r="BR270" s="269">
        <v>0</v>
      </c>
      <c r="BS270" s="269">
        <v>0</v>
      </c>
      <c r="BT270" s="269">
        <v>0</v>
      </c>
      <c r="BU270" s="269">
        <v>0</v>
      </c>
      <c r="BV270" s="269">
        <v>0</v>
      </c>
      <c r="BW270" s="269">
        <v>0</v>
      </c>
      <c r="BX270" s="269">
        <v>0</v>
      </c>
      <c r="BY270" s="269">
        <v>0</v>
      </c>
      <c r="BZ270" s="269">
        <v>0</v>
      </c>
      <c r="CA270" s="269">
        <v>0</v>
      </c>
      <c r="CB270" s="269">
        <v>0</v>
      </c>
    </row>
    <row r="271" spans="1:80" x14ac:dyDescent="0.3">
      <c r="A271" s="269">
        <v>611</v>
      </c>
      <c r="B271" s="269">
        <v>611</v>
      </c>
      <c r="C271" s="269" t="s">
        <v>689</v>
      </c>
      <c r="E271" s="269">
        <v>0</v>
      </c>
      <c r="F271" s="269">
        <v>0</v>
      </c>
      <c r="G271" s="269">
        <v>0</v>
      </c>
      <c r="H271" s="269">
        <v>0</v>
      </c>
      <c r="I271" s="269">
        <v>0</v>
      </c>
      <c r="J271" s="269">
        <v>0</v>
      </c>
      <c r="K271" s="269">
        <v>0</v>
      </c>
      <c r="L271" s="269">
        <v>0</v>
      </c>
      <c r="M271" s="269">
        <v>0</v>
      </c>
      <c r="N271" s="269">
        <v>0</v>
      </c>
      <c r="O271" s="269">
        <v>0</v>
      </c>
      <c r="P271" s="269">
        <v>0</v>
      </c>
      <c r="Q271" s="269">
        <v>0</v>
      </c>
      <c r="R271" s="269">
        <v>0</v>
      </c>
      <c r="S271" s="269">
        <v>0</v>
      </c>
      <c r="T271" s="269">
        <v>0</v>
      </c>
      <c r="U271" s="269">
        <v>0</v>
      </c>
      <c r="V271" s="269">
        <v>0</v>
      </c>
      <c r="W271" s="269">
        <v>0</v>
      </c>
      <c r="X271" s="269">
        <v>0</v>
      </c>
      <c r="Y271" s="269">
        <v>0</v>
      </c>
      <c r="Z271" s="269">
        <v>0</v>
      </c>
      <c r="AA271" s="269">
        <v>0</v>
      </c>
      <c r="AB271" s="269">
        <v>0</v>
      </c>
      <c r="AC271" s="269">
        <v>0</v>
      </c>
      <c r="AD271" s="269">
        <v>0</v>
      </c>
      <c r="AE271" s="269">
        <v>0</v>
      </c>
      <c r="AF271" s="269">
        <v>0</v>
      </c>
      <c r="AG271" s="269">
        <v>0</v>
      </c>
      <c r="AH271" s="269">
        <v>0</v>
      </c>
      <c r="AI271" s="269">
        <v>0</v>
      </c>
      <c r="AJ271" s="269">
        <v>0</v>
      </c>
      <c r="AK271" s="269">
        <v>0</v>
      </c>
      <c r="AL271" s="269">
        <v>0</v>
      </c>
      <c r="AM271" s="269">
        <v>0</v>
      </c>
      <c r="AN271" s="269">
        <v>0</v>
      </c>
      <c r="AO271" s="269">
        <v>0</v>
      </c>
      <c r="AP271" s="269">
        <v>0</v>
      </c>
      <c r="AQ271" s="269">
        <v>0</v>
      </c>
      <c r="AR271" s="269">
        <v>0</v>
      </c>
      <c r="AS271" s="269">
        <v>0</v>
      </c>
      <c r="AT271" s="269">
        <v>0</v>
      </c>
      <c r="AU271" s="269">
        <v>0</v>
      </c>
      <c r="AV271" s="269">
        <v>0</v>
      </c>
      <c r="AW271" s="269">
        <v>0</v>
      </c>
      <c r="AX271" s="269">
        <v>0</v>
      </c>
      <c r="AY271" s="269">
        <v>0</v>
      </c>
      <c r="AZ271" s="269">
        <v>0</v>
      </c>
      <c r="BA271" s="269">
        <v>0</v>
      </c>
      <c r="BB271" s="269">
        <v>0</v>
      </c>
      <c r="BC271" s="269">
        <v>0</v>
      </c>
      <c r="BD271" s="269">
        <v>0</v>
      </c>
      <c r="BE271" s="269">
        <v>0</v>
      </c>
      <c r="BF271" s="269">
        <v>0</v>
      </c>
      <c r="BG271" s="269">
        <v>0</v>
      </c>
      <c r="BH271" s="269">
        <v>0</v>
      </c>
      <c r="BI271" s="269">
        <v>0</v>
      </c>
      <c r="BJ271" s="269">
        <v>0</v>
      </c>
      <c r="BK271" s="269">
        <v>0</v>
      </c>
      <c r="BL271" s="269">
        <v>0</v>
      </c>
      <c r="BM271" s="269">
        <v>0</v>
      </c>
      <c r="BN271" s="269">
        <v>0</v>
      </c>
      <c r="BO271" s="269">
        <v>0</v>
      </c>
      <c r="BP271" s="269">
        <v>0</v>
      </c>
      <c r="BQ271" s="269">
        <v>0</v>
      </c>
      <c r="BR271" s="269">
        <v>0</v>
      </c>
      <c r="BS271" s="269">
        <v>0</v>
      </c>
      <c r="BT271" s="269">
        <v>0</v>
      </c>
      <c r="BU271" s="269">
        <v>0</v>
      </c>
      <c r="BV271" s="269">
        <v>0</v>
      </c>
      <c r="BW271" s="269">
        <v>0</v>
      </c>
      <c r="BX271" s="269">
        <v>0</v>
      </c>
      <c r="BY271" s="269">
        <v>0</v>
      </c>
      <c r="BZ271" s="269">
        <v>0</v>
      </c>
      <c r="CA271" s="269">
        <v>0</v>
      </c>
      <c r="CB271" s="269">
        <v>0</v>
      </c>
    </row>
    <row r="272" spans="1:80" x14ac:dyDescent="0.3">
      <c r="A272" s="269">
        <v>612</v>
      </c>
      <c r="B272" s="269">
        <v>612</v>
      </c>
      <c r="C272" s="269" t="s">
        <v>709</v>
      </c>
      <c r="E272" s="1021">
        <v>0</v>
      </c>
      <c r="F272" s="1021">
        <v>0</v>
      </c>
      <c r="G272" s="1021">
        <v>0</v>
      </c>
      <c r="H272" s="1021">
        <v>0</v>
      </c>
      <c r="I272" s="1021">
        <v>0</v>
      </c>
      <c r="J272" s="1021">
        <v>0</v>
      </c>
      <c r="K272" s="1021">
        <v>0</v>
      </c>
      <c r="L272" s="1021">
        <v>0</v>
      </c>
      <c r="M272" s="1021">
        <v>0</v>
      </c>
      <c r="N272" s="1021">
        <v>0</v>
      </c>
      <c r="O272" s="1021">
        <v>0</v>
      </c>
      <c r="P272" s="1021">
        <v>0</v>
      </c>
      <c r="Q272" s="1021">
        <v>0</v>
      </c>
      <c r="R272" s="1021">
        <v>0</v>
      </c>
      <c r="S272" s="1021">
        <v>0</v>
      </c>
      <c r="T272" s="1021">
        <v>0</v>
      </c>
      <c r="U272" s="1021">
        <v>0</v>
      </c>
      <c r="V272" s="1021">
        <v>0</v>
      </c>
      <c r="W272" s="1021">
        <v>0</v>
      </c>
      <c r="X272" s="1021">
        <v>0</v>
      </c>
      <c r="Y272" s="1021">
        <v>0</v>
      </c>
      <c r="Z272" s="1021">
        <v>0</v>
      </c>
      <c r="AA272" s="1021">
        <v>0</v>
      </c>
      <c r="AB272" s="1021">
        <v>0</v>
      </c>
      <c r="AC272" s="1021">
        <v>0</v>
      </c>
      <c r="AD272" s="1021">
        <v>0</v>
      </c>
      <c r="AE272" s="1021">
        <v>0</v>
      </c>
      <c r="AF272" s="1021">
        <v>0</v>
      </c>
      <c r="AG272" s="1021">
        <v>0</v>
      </c>
      <c r="AH272" s="1021">
        <v>0</v>
      </c>
      <c r="AI272" s="1021">
        <v>0</v>
      </c>
      <c r="AJ272" s="1021">
        <v>0</v>
      </c>
      <c r="AK272" s="1021">
        <v>0</v>
      </c>
      <c r="AL272" s="1021">
        <v>0</v>
      </c>
      <c r="AM272" s="1021">
        <v>0</v>
      </c>
      <c r="AN272" s="1021">
        <v>0</v>
      </c>
      <c r="AO272" s="1021">
        <v>0</v>
      </c>
      <c r="AP272" s="1021">
        <v>0</v>
      </c>
      <c r="AQ272" s="1021">
        <v>0</v>
      </c>
      <c r="AR272" s="1021">
        <v>0</v>
      </c>
      <c r="AS272" s="1021">
        <v>0</v>
      </c>
      <c r="AT272" s="1021">
        <v>0</v>
      </c>
      <c r="AU272" s="1021">
        <v>0</v>
      </c>
      <c r="AV272" s="1021">
        <v>0</v>
      </c>
      <c r="AW272" s="1021">
        <v>0</v>
      </c>
      <c r="AX272" s="1021">
        <v>0</v>
      </c>
      <c r="AY272" s="1021">
        <v>0</v>
      </c>
      <c r="AZ272" s="1021">
        <v>0</v>
      </c>
      <c r="BA272" s="1021">
        <v>0</v>
      </c>
      <c r="BB272" s="1021">
        <v>0</v>
      </c>
      <c r="BC272" s="1021">
        <v>0</v>
      </c>
      <c r="BD272" s="1021">
        <v>0</v>
      </c>
      <c r="BE272" s="1021">
        <v>0</v>
      </c>
      <c r="BF272" s="1021">
        <v>0</v>
      </c>
      <c r="BG272" s="1021">
        <v>0</v>
      </c>
      <c r="BH272" s="1021">
        <v>0</v>
      </c>
      <c r="BI272" s="1021">
        <v>0</v>
      </c>
      <c r="BJ272" s="1021">
        <v>0</v>
      </c>
      <c r="BK272" s="1021">
        <v>0</v>
      </c>
      <c r="BL272" s="1021">
        <v>0</v>
      </c>
      <c r="BM272" s="1021">
        <v>0</v>
      </c>
      <c r="BN272" s="1021">
        <v>0</v>
      </c>
      <c r="BO272" s="1021">
        <v>0</v>
      </c>
      <c r="BP272" s="1021">
        <v>0</v>
      </c>
      <c r="BQ272" s="1021">
        <v>0</v>
      </c>
      <c r="BR272" s="1021">
        <v>0</v>
      </c>
      <c r="BS272" s="1021">
        <v>0</v>
      </c>
      <c r="BT272" s="1021">
        <v>0</v>
      </c>
      <c r="BU272" s="1021">
        <v>0</v>
      </c>
      <c r="BV272" s="1021">
        <v>0</v>
      </c>
      <c r="BW272" s="1021">
        <v>0</v>
      </c>
      <c r="BX272" s="1021">
        <v>0</v>
      </c>
      <c r="BY272" s="1021">
        <v>0</v>
      </c>
      <c r="BZ272" s="1021">
        <v>0</v>
      </c>
      <c r="CA272" s="1021">
        <v>0</v>
      </c>
      <c r="CB272" s="1021">
        <v>0</v>
      </c>
    </row>
    <row r="273" spans="1:80" x14ac:dyDescent="0.3">
      <c r="A273" s="269">
        <v>613</v>
      </c>
      <c r="B273" s="269">
        <v>613</v>
      </c>
      <c r="C273" s="269" t="s">
        <v>697</v>
      </c>
      <c r="E273" s="269">
        <v>0</v>
      </c>
      <c r="F273" s="269">
        <v>0</v>
      </c>
      <c r="G273" s="269">
        <v>0</v>
      </c>
      <c r="H273" s="269">
        <v>0</v>
      </c>
      <c r="I273" s="269">
        <v>0</v>
      </c>
      <c r="J273" s="269">
        <v>0</v>
      </c>
      <c r="K273" s="269">
        <v>0</v>
      </c>
      <c r="L273" s="269">
        <v>0</v>
      </c>
      <c r="M273" s="269">
        <v>0</v>
      </c>
      <c r="N273" s="269">
        <v>0</v>
      </c>
      <c r="O273" s="269">
        <v>0</v>
      </c>
      <c r="P273" s="269">
        <v>0</v>
      </c>
      <c r="Q273" s="269">
        <v>0</v>
      </c>
      <c r="R273" s="269">
        <v>0</v>
      </c>
      <c r="S273" s="269">
        <v>0</v>
      </c>
      <c r="T273" s="269">
        <v>0</v>
      </c>
      <c r="U273" s="269">
        <v>0</v>
      </c>
      <c r="V273" s="269">
        <v>0</v>
      </c>
      <c r="W273" s="269">
        <v>0</v>
      </c>
      <c r="X273" s="269">
        <v>0</v>
      </c>
      <c r="Y273" s="269">
        <v>0</v>
      </c>
      <c r="Z273" s="269">
        <v>0</v>
      </c>
      <c r="AA273" s="269">
        <v>0</v>
      </c>
      <c r="AB273" s="269">
        <v>0</v>
      </c>
      <c r="AC273" s="269">
        <v>0</v>
      </c>
      <c r="AD273" s="269">
        <v>0</v>
      </c>
      <c r="AE273" s="269">
        <v>0</v>
      </c>
      <c r="AF273" s="269">
        <v>0</v>
      </c>
      <c r="AG273" s="269">
        <v>0</v>
      </c>
      <c r="AH273" s="269">
        <v>0</v>
      </c>
      <c r="AI273" s="269">
        <v>0</v>
      </c>
      <c r="AJ273" s="269">
        <v>0</v>
      </c>
      <c r="AK273" s="269">
        <v>0</v>
      </c>
      <c r="AL273" s="269">
        <v>0</v>
      </c>
      <c r="AM273" s="269">
        <v>0</v>
      </c>
      <c r="AN273" s="269">
        <v>0</v>
      </c>
      <c r="AO273" s="269">
        <v>0</v>
      </c>
      <c r="AP273" s="269">
        <v>0</v>
      </c>
      <c r="AQ273" s="269">
        <v>0</v>
      </c>
      <c r="AR273" s="269">
        <v>0</v>
      </c>
      <c r="AS273" s="269">
        <v>0</v>
      </c>
      <c r="AT273" s="269">
        <v>0</v>
      </c>
      <c r="AU273" s="269">
        <v>0</v>
      </c>
      <c r="AV273" s="269">
        <v>0</v>
      </c>
      <c r="AW273" s="269">
        <v>0</v>
      </c>
      <c r="AX273" s="269">
        <v>0</v>
      </c>
      <c r="AY273" s="269">
        <v>0</v>
      </c>
      <c r="AZ273" s="269">
        <v>0</v>
      </c>
      <c r="BA273" s="269">
        <v>0</v>
      </c>
      <c r="BB273" s="269">
        <v>0</v>
      </c>
      <c r="BC273" s="269">
        <v>0</v>
      </c>
      <c r="BD273" s="269">
        <v>0</v>
      </c>
      <c r="BE273" s="269">
        <v>0</v>
      </c>
      <c r="BF273" s="269">
        <v>0</v>
      </c>
      <c r="BG273" s="269">
        <v>0</v>
      </c>
      <c r="BH273" s="269">
        <v>0</v>
      </c>
      <c r="BI273" s="269">
        <v>0</v>
      </c>
      <c r="BJ273" s="269">
        <v>0</v>
      </c>
      <c r="BK273" s="269">
        <v>0</v>
      </c>
      <c r="BL273" s="269">
        <v>0</v>
      </c>
      <c r="BM273" s="269">
        <v>0</v>
      </c>
      <c r="BN273" s="269">
        <v>0</v>
      </c>
      <c r="BO273" s="269">
        <v>0</v>
      </c>
      <c r="BP273" s="269">
        <v>0</v>
      </c>
      <c r="BQ273" s="269">
        <v>0</v>
      </c>
      <c r="BR273" s="269">
        <v>0</v>
      </c>
      <c r="BS273" s="269">
        <v>0</v>
      </c>
      <c r="BT273" s="269">
        <v>0</v>
      </c>
      <c r="BU273" s="269">
        <v>0</v>
      </c>
      <c r="BV273" s="269">
        <v>0</v>
      </c>
      <c r="BW273" s="269">
        <v>0</v>
      </c>
      <c r="BX273" s="269">
        <v>0</v>
      </c>
      <c r="BY273" s="269">
        <v>0</v>
      </c>
      <c r="BZ273" s="269">
        <v>0</v>
      </c>
      <c r="CA273" s="269">
        <v>0</v>
      </c>
      <c r="CB273" s="269">
        <v>0</v>
      </c>
    </row>
    <row r="274" spans="1:80" x14ac:dyDescent="0.3">
      <c r="A274" s="269">
        <v>614</v>
      </c>
      <c r="B274" s="269">
        <v>614</v>
      </c>
      <c r="C274" s="269" t="s">
        <v>690</v>
      </c>
      <c r="E274" s="269">
        <v>0</v>
      </c>
      <c r="F274" s="269">
        <v>0</v>
      </c>
      <c r="G274" s="269">
        <v>0</v>
      </c>
      <c r="H274" s="269">
        <v>0</v>
      </c>
      <c r="I274" s="269">
        <v>0</v>
      </c>
      <c r="J274" s="269">
        <v>0</v>
      </c>
      <c r="K274" s="269">
        <v>0</v>
      </c>
      <c r="L274" s="269">
        <v>0</v>
      </c>
      <c r="M274" s="269">
        <v>0</v>
      </c>
      <c r="N274" s="269">
        <v>0</v>
      </c>
      <c r="O274" s="269">
        <v>0</v>
      </c>
      <c r="P274" s="269">
        <v>0</v>
      </c>
      <c r="Q274" s="269">
        <v>0</v>
      </c>
      <c r="R274" s="269">
        <v>0</v>
      </c>
      <c r="S274" s="269">
        <v>0</v>
      </c>
      <c r="T274" s="269">
        <v>0</v>
      </c>
      <c r="U274" s="269">
        <v>0</v>
      </c>
      <c r="V274" s="269">
        <v>0</v>
      </c>
      <c r="W274" s="269">
        <v>0</v>
      </c>
      <c r="X274" s="269">
        <v>0</v>
      </c>
      <c r="Y274" s="269">
        <v>0</v>
      </c>
      <c r="Z274" s="269">
        <v>0</v>
      </c>
      <c r="AA274" s="269">
        <v>0</v>
      </c>
      <c r="AB274" s="269">
        <v>0</v>
      </c>
      <c r="AC274" s="269">
        <v>0</v>
      </c>
      <c r="AD274" s="269">
        <v>0</v>
      </c>
      <c r="AE274" s="269">
        <v>0</v>
      </c>
      <c r="AF274" s="269">
        <v>0</v>
      </c>
      <c r="AG274" s="269">
        <v>0</v>
      </c>
      <c r="AH274" s="269">
        <v>0</v>
      </c>
      <c r="AI274" s="269">
        <v>0</v>
      </c>
      <c r="AJ274" s="269">
        <v>0</v>
      </c>
      <c r="AK274" s="269">
        <v>0</v>
      </c>
      <c r="AL274" s="269">
        <v>0</v>
      </c>
      <c r="AM274" s="269">
        <v>0</v>
      </c>
      <c r="AN274" s="269">
        <v>0</v>
      </c>
      <c r="AO274" s="269">
        <v>0</v>
      </c>
      <c r="AP274" s="269">
        <v>0</v>
      </c>
      <c r="AQ274" s="269">
        <v>0</v>
      </c>
      <c r="AR274" s="269">
        <v>0</v>
      </c>
      <c r="AS274" s="269">
        <v>0</v>
      </c>
      <c r="AT274" s="269">
        <v>0</v>
      </c>
      <c r="AU274" s="269">
        <v>0</v>
      </c>
      <c r="AV274" s="269">
        <v>0</v>
      </c>
      <c r="AW274" s="269">
        <v>0</v>
      </c>
      <c r="AX274" s="269">
        <v>0</v>
      </c>
      <c r="AY274" s="269">
        <v>0</v>
      </c>
      <c r="AZ274" s="269">
        <v>0</v>
      </c>
      <c r="BA274" s="269">
        <v>0</v>
      </c>
      <c r="BB274" s="269">
        <v>0</v>
      </c>
      <c r="BC274" s="269">
        <v>0</v>
      </c>
      <c r="BD274" s="269">
        <v>0</v>
      </c>
      <c r="BE274" s="269">
        <v>0</v>
      </c>
      <c r="BF274" s="269">
        <v>0</v>
      </c>
      <c r="BG274" s="269">
        <v>0</v>
      </c>
      <c r="BH274" s="269">
        <v>0</v>
      </c>
      <c r="BI274" s="269">
        <v>0</v>
      </c>
      <c r="BJ274" s="269">
        <v>0</v>
      </c>
      <c r="BK274" s="269">
        <v>0</v>
      </c>
      <c r="BL274" s="269">
        <v>0</v>
      </c>
      <c r="BM274" s="269">
        <v>0</v>
      </c>
      <c r="BN274" s="269">
        <v>0</v>
      </c>
      <c r="BO274" s="269">
        <v>0</v>
      </c>
      <c r="BP274" s="269">
        <v>0</v>
      </c>
      <c r="BQ274" s="269">
        <v>0</v>
      </c>
      <c r="BR274" s="269">
        <v>0</v>
      </c>
      <c r="BS274" s="269">
        <v>0</v>
      </c>
      <c r="BT274" s="269">
        <v>0</v>
      </c>
      <c r="BU274" s="269">
        <v>0</v>
      </c>
      <c r="BV274" s="269">
        <v>0</v>
      </c>
      <c r="BW274" s="269">
        <v>0</v>
      </c>
      <c r="BX274" s="269">
        <v>0</v>
      </c>
      <c r="BY274" s="269">
        <v>0</v>
      </c>
      <c r="BZ274" s="269">
        <v>0</v>
      </c>
      <c r="CA274" s="269">
        <v>0</v>
      </c>
      <c r="CB274" s="269">
        <v>0</v>
      </c>
    </row>
    <row r="275" spans="1:80" x14ac:dyDescent="0.3">
      <c r="A275" s="269">
        <v>615</v>
      </c>
      <c r="B275" s="269">
        <v>615</v>
      </c>
      <c r="C275" s="269" t="s">
        <v>710</v>
      </c>
      <c r="E275" s="1021">
        <v>0</v>
      </c>
      <c r="F275" s="1021">
        <v>0</v>
      </c>
      <c r="G275" s="1021">
        <v>0</v>
      </c>
      <c r="H275" s="1021">
        <v>0</v>
      </c>
      <c r="I275" s="1021">
        <v>0</v>
      </c>
      <c r="J275" s="1021">
        <v>0</v>
      </c>
      <c r="K275" s="1021">
        <v>0</v>
      </c>
      <c r="L275" s="1021">
        <v>0</v>
      </c>
      <c r="M275" s="1021">
        <v>0</v>
      </c>
      <c r="N275" s="1021">
        <v>0</v>
      </c>
      <c r="O275" s="1021">
        <v>0</v>
      </c>
      <c r="P275" s="1021">
        <v>0</v>
      </c>
      <c r="Q275" s="1021">
        <v>0</v>
      </c>
      <c r="R275" s="1021">
        <v>0</v>
      </c>
      <c r="S275" s="1021">
        <v>0</v>
      </c>
      <c r="T275" s="1021">
        <v>0</v>
      </c>
      <c r="U275" s="1021">
        <v>0</v>
      </c>
      <c r="V275" s="1021">
        <v>0</v>
      </c>
      <c r="W275" s="1021">
        <v>0</v>
      </c>
      <c r="X275" s="1021">
        <v>0</v>
      </c>
      <c r="Y275" s="1021">
        <v>0</v>
      </c>
      <c r="Z275" s="1021">
        <v>0</v>
      </c>
      <c r="AA275" s="1021">
        <v>0</v>
      </c>
      <c r="AB275" s="1021">
        <v>0</v>
      </c>
      <c r="AC275" s="1021">
        <v>0</v>
      </c>
      <c r="AD275" s="1021">
        <v>0</v>
      </c>
      <c r="AE275" s="1021">
        <v>0</v>
      </c>
      <c r="AF275" s="1021">
        <v>0</v>
      </c>
      <c r="AG275" s="1021">
        <v>0</v>
      </c>
      <c r="AH275" s="1021">
        <v>0</v>
      </c>
      <c r="AI275" s="1021">
        <v>0</v>
      </c>
      <c r="AJ275" s="1021">
        <v>0</v>
      </c>
      <c r="AK275" s="1021">
        <v>0</v>
      </c>
      <c r="AL275" s="1021">
        <v>0</v>
      </c>
      <c r="AM275" s="1021">
        <v>0</v>
      </c>
      <c r="AN275" s="1021">
        <v>0</v>
      </c>
      <c r="AO275" s="1021">
        <v>0</v>
      </c>
      <c r="AP275" s="1021">
        <v>0</v>
      </c>
      <c r="AQ275" s="1021">
        <v>0</v>
      </c>
      <c r="AR275" s="1021">
        <v>0</v>
      </c>
      <c r="AS275" s="1021">
        <v>0</v>
      </c>
      <c r="AT275" s="1021">
        <v>0</v>
      </c>
      <c r="AU275" s="1021">
        <v>0</v>
      </c>
      <c r="AV275" s="1021">
        <v>0</v>
      </c>
      <c r="AW275" s="1021">
        <v>0</v>
      </c>
      <c r="AX275" s="1021">
        <v>0</v>
      </c>
      <c r="AY275" s="1021">
        <v>0</v>
      </c>
      <c r="AZ275" s="1021">
        <v>0</v>
      </c>
      <c r="BA275" s="1021">
        <v>0</v>
      </c>
      <c r="BB275" s="1021">
        <v>0</v>
      </c>
      <c r="BC275" s="1021">
        <v>0</v>
      </c>
      <c r="BD275" s="1021">
        <v>0</v>
      </c>
      <c r="BE275" s="1021">
        <v>0</v>
      </c>
      <c r="BF275" s="1021">
        <v>0</v>
      </c>
      <c r="BG275" s="1021">
        <v>0</v>
      </c>
      <c r="BH275" s="1021">
        <v>0</v>
      </c>
      <c r="BI275" s="1021">
        <v>0</v>
      </c>
      <c r="BJ275" s="1021">
        <v>0</v>
      </c>
      <c r="BK275" s="1021">
        <v>0</v>
      </c>
      <c r="BL275" s="1021">
        <v>0</v>
      </c>
      <c r="BM275" s="1021">
        <v>0</v>
      </c>
      <c r="BN275" s="1021">
        <v>0</v>
      </c>
      <c r="BO275" s="1021">
        <v>0</v>
      </c>
      <c r="BP275" s="1021">
        <v>0</v>
      </c>
      <c r="BQ275" s="1021">
        <v>0</v>
      </c>
      <c r="BR275" s="1021">
        <v>0</v>
      </c>
      <c r="BS275" s="1021">
        <v>0</v>
      </c>
      <c r="BT275" s="1021">
        <v>0</v>
      </c>
      <c r="BU275" s="1021">
        <v>0</v>
      </c>
      <c r="BV275" s="1021">
        <v>0</v>
      </c>
      <c r="BW275" s="1021">
        <v>0</v>
      </c>
      <c r="BX275" s="1021">
        <v>0</v>
      </c>
      <c r="BY275" s="1021">
        <v>0</v>
      </c>
      <c r="BZ275" s="1021">
        <v>0</v>
      </c>
      <c r="CA275" s="1021">
        <v>0</v>
      </c>
      <c r="CB275" s="1021">
        <v>0</v>
      </c>
    </row>
    <row r="276" spans="1:80" x14ac:dyDescent="0.3">
      <c r="A276" s="269">
        <v>616</v>
      </c>
      <c r="B276" s="269">
        <v>616</v>
      </c>
      <c r="C276" s="269" t="s">
        <v>691</v>
      </c>
      <c r="E276" s="269">
        <v>0</v>
      </c>
      <c r="F276" s="269">
        <v>0</v>
      </c>
      <c r="G276" s="269">
        <v>0</v>
      </c>
      <c r="H276" s="269">
        <v>0</v>
      </c>
      <c r="I276" s="269">
        <v>0</v>
      </c>
      <c r="J276" s="269">
        <v>0</v>
      </c>
      <c r="K276" s="269">
        <v>0</v>
      </c>
      <c r="L276" s="269">
        <v>0</v>
      </c>
      <c r="M276" s="269">
        <v>0</v>
      </c>
      <c r="N276" s="269">
        <v>0</v>
      </c>
      <c r="O276" s="269">
        <v>0</v>
      </c>
      <c r="P276" s="269">
        <v>0</v>
      </c>
      <c r="Q276" s="269">
        <v>0</v>
      </c>
      <c r="R276" s="269">
        <v>0</v>
      </c>
      <c r="S276" s="269">
        <v>0</v>
      </c>
      <c r="T276" s="269">
        <v>0</v>
      </c>
      <c r="U276" s="269">
        <v>0</v>
      </c>
      <c r="V276" s="269">
        <v>0</v>
      </c>
      <c r="W276" s="269">
        <v>0</v>
      </c>
      <c r="X276" s="269">
        <v>0</v>
      </c>
      <c r="Y276" s="269">
        <v>0</v>
      </c>
      <c r="Z276" s="269">
        <v>0</v>
      </c>
      <c r="AA276" s="269">
        <v>0</v>
      </c>
      <c r="AB276" s="269">
        <v>403634</v>
      </c>
      <c r="AC276" s="269">
        <v>0</v>
      </c>
      <c r="AD276" s="269">
        <v>0</v>
      </c>
      <c r="AE276" s="269">
        <v>0</v>
      </c>
      <c r="AF276" s="269">
        <v>0</v>
      </c>
      <c r="AG276" s="269">
        <v>0</v>
      </c>
      <c r="AH276" s="269">
        <v>0</v>
      </c>
      <c r="AI276" s="269">
        <v>0</v>
      </c>
      <c r="AJ276" s="269">
        <v>0</v>
      </c>
      <c r="AK276" s="269">
        <v>0</v>
      </c>
      <c r="AL276" s="269">
        <v>0</v>
      </c>
      <c r="AM276" s="269">
        <v>0</v>
      </c>
      <c r="AN276" s="269">
        <v>0</v>
      </c>
      <c r="AO276" s="269">
        <v>0</v>
      </c>
      <c r="AP276" s="269">
        <v>0</v>
      </c>
      <c r="AQ276" s="269">
        <v>0</v>
      </c>
      <c r="AR276" s="269">
        <v>0</v>
      </c>
      <c r="AS276" s="269">
        <v>0</v>
      </c>
      <c r="AT276" s="269">
        <v>0</v>
      </c>
      <c r="AU276" s="269">
        <v>0</v>
      </c>
      <c r="AV276" s="269">
        <v>0</v>
      </c>
      <c r="AW276" s="269">
        <v>0</v>
      </c>
      <c r="AX276" s="269">
        <v>0</v>
      </c>
      <c r="AY276" s="269">
        <v>0</v>
      </c>
      <c r="AZ276" s="269">
        <v>0</v>
      </c>
      <c r="BA276" s="269">
        <v>0</v>
      </c>
      <c r="BB276" s="269">
        <v>0</v>
      </c>
      <c r="BC276" s="269">
        <v>0</v>
      </c>
      <c r="BD276" s="269">
        <v>0</v>
      </c>
      <c r="BE276" s="269">
        <v>0</v>
      </c>
      <c r="BF276" s="269">
        <v>0</v>
      </c>
      <c r="BG276" s="269">
        <v>0</v>
      </c>
      <c r="BH276" s="269">
        <v>0</v>
      </c>
      <c r="BI276" s="269">
        <v>0</v>
      </c>
      <c r="BJ276" s="269">
        <v>0</v>
      </c>
      <c r="BK276" s="269">
        <v>0</v>
      </c>
      <c r="BL276" s="269">
        <v>0</v>
      </c>
      <c r="BM276" s="269">
        <v>0</v>
      </c>
      <c r="BN276" s="269">
        <v>0</v>
      </c>
      <c r="BO276" s="269">
        <v>0</v>
      </c>
      <c r="BP276" s="269">
        <v>0</v>
      </c>
      <c r="BQ276" s="269">
        <v>0</v>
      </c>
      <c r="BR276" s="269">
        <v>0</v>
      </c>
      <c r="BS276" s="269">
        <v>0</v>
      </c>
      <c r="BT276" s="269">
        <v>0</v>
      </c>
      <c r="BU276" s="269">
        <v>0</v>
      </c>
      <c r="BV276" s="269">
        <v>0</v>
      </c>
      <c r="BW276" s="269">
        <v>0</v>
      </c>
      <c r="BX276" s="269">
        <v>0</v>
      </c>
      <c r="BY276" s="269">
        <v>0</v>
      </c>
      <c r="BZ276" s="269">
        <v>0</v>
      </c>
      <c r="CA276" s="269">
        <v>0</v>
      </c>
      <c r="CB276" s="269">
        <v>0</v>
      </c>
    </row>
    <row r="277" spans="1:80" x14ac:dyDescent="0.3">
      <c r="A277" s="269">
        <v>617</v>
      </c>
      <c r="B277" s="269">
        <v>617</v>
      </c>
      <c r="C277" s="269" t="s">
        <v>692</v>
      </c>
      <c r="E277" s="269">
        <v>0</v>
      </c>
      <c r="F277" s="269">
        <v>0</v>
      </c>
      <c r="G277" s="269">
        <v>0</v>
      </c>
      <c r="H277" s="269">
        <v>0</v>
      </c>
      <c r="I277" s="269">
        <v>0</v>
      </c>
      <c r="J277" s="269">
        <v>0</v>
      </c>
      <c r="K277" s="269">
        <v>0</v>
      </c>
      <c r="L277" s="269">
        <v>0</v>
      </c>
      <c r="M277" s="269">
        <v>0</v>
      </c>
      <c r="N277" s="269">
        <v>0</v>
      </c>
      <c r="O277" s="269">
        <v>0</v>
      </c>
      <c r="P277" s="269">
        <v>0</v>
      </c>
      <c r="Q277" s="269">
        <v>0</v>
      </c>
      <c r="R277" s="269">
        <v>0</v>
      </c>
      <c r="S277" s="269">
        <v>0</v>
      </c>
      <c r="T277" s="269">
        <v>0</v>
      </c>
      <c r="U277" s="269">
        <v>0</v>
      </c>
      <c r="V277" s="269">
        <v>0</v>
      </c>
      <c r="W277" s="269">
        <v>0</v>
      </c>
      <c r="X277" s="269">
        <v>0</v>
      </c>
      <c r="Y277" s="269">
        <v>0</v>
      </c>
      <c r="Z277" s="269">
        <v>0</v>
      </c>
      <c r="AA277" s="269">
        <v>0</v>
      </c>
      <c r="AB277" s="269">
        <v>0</v>
      </c>
      <c r="AC277" s="269">
        <v>0</v>
      </c>
      <c r="AD277" s="269">
        <v>0</v>
      </c>
      <c r="AE277" s="269">
        <v>0</v>
      </c>
      <c r="AF277" s="269">
        <v>0</v>
      </c>
      <c r="AG277" s="269">
        <v>0</v>
      </c>
      <c r="AH277" s="269">
        <v>0</v>
      </c>
      <c r="AI277" s="269">
        <v>0</v>
      </c>
      <c r="AJ277" s="269">
        <v>0</v>
      </c>
      <c r="AK277" s="269">
        <v>0</v>
      </c>
      <c r="AL277" s="269">
        <v>0</v>
      </c>
      <c r="AM277" s="269">
        <v>0</v>
      </c>
      <c r="AN277" s="269">
        <v>0</v>
      </c>
      <c r="AO277" s="269">
        <v>0</v>
      </c>
      <c r="AP277" s="269">
        <v>0</v>
      </c>
      <c r="AQ277" s="269">
        <v>0</v>
      </c>
      <c r="AR277" s="269">
        <v>0</v>
      </c>
      <c r="AS277" s="269">
        <v>0</v>
      </c>
      <c r="AT277" s="269">
        <v>0</v>
      </c>
      <c r="AU277" s="269">
        <v>0</v>
      </c>
      <c r="AV277" s="269">
        <v>0</v>
      </c>
      <c r="AW277" s="269">
        <v>0</v>
      </c>
      <c r="AX277" s="269">
        <v>0</v>
      </c>
      <c r="AY277" s="269">
        <v>0</v>
      </c>
      <c r="AZ277" s="269">
        <v>0</v>
      </c>
      <c r="BA277" s="269">
        <v>0</v>
      </c>
      <c r="BB277" s="269">
        <v>0</v>
      </c>
      <c r="BC277" s="269">
        <v>0</v>
      </c>
      <c r="BD277" s="269">
        <v>0</v>
      </c>
      <c r="BE277" s="269">
        <v>0</v>
      </c>
      <c r="BF277" s="269">
        <v>0</v>
      </c>
      <c r="BG277" s="269">
        <v>0</v>
      </c>
      <c r="BH277" s="269">
        <v>0</v>
      </c>
      <c r="BI277" s="269">
        <v>0</v>
      </c>
      <c r="BJ277" s="269">
        <v>0</v>
      </c>
      <c r="BK277" s="269">
        <v>0</v>
      </c>
      <c r="BL277" s="269">
        <v>0</v>
      </c>
      <c r="BM277" s="269">
        <v>0</v>
      </c>
      <c r="BN277" s="269">
        <v>0</v>
      </c>
      <c r="BO277" s="269">
        <v>0</v>
      </c>
      <c r="BP277" s="269">
        <v>0</v>
      </c>
      <c r="BQ277" s="269">
        <v>0</v>
      </c>
      <c r="BR277" s="269">
        <v>0</v>
      </c>
      <c r="BS277" s="269">
        <v>0</v>
      </c>
      <c r="BT277" s="269">
        <v>0</v>
      </c>
      <c r="BU277" s="269">
        <v>0</v>
      </c>
      <c r="BV277" s="269">
        <v>0</v>
      </c>
      <c r="BW277" s="269">
        <v>0</v>
      </c>
      <c r="BX277" s="269">
        <v>0</v>
      </c>
      <c r="BY277" s="269">
        <v>0</v>
      </c>
      <c r="BZ277" s="269">
        <v>0</v>
      </c>
      <c r="CA277" s="269">
        <v>0</v>
      </c>
      <c r="CB277" s="269">
        <v>0</v>
      </c>
    </row>
    <row r="278" spans="1:80" x14ac:dyDescent="0.3">
      <c r="A278" s="269">
        <v>618</v>
      </c>
      <c r="B278" s="269">
        <v>618</v>
      </c>
      <c r="C278" s="269" t="s">
        <v>711</v>
      </c>
      <c r="E278" s="1021">
        <v>0</v>
      </c>
      <c r="F278" s="1021">
        <v>0</v>
      </c>
      <c r="G278" s="1021">
        <v>0</v>
      </c>
      <c r="H278" s="1021">
        <v>0</v>
      </c>
      <c r="I278" s="1021">
        <v>0</v>
      </c>
      <c r="J278" s="1021">
        <v>0</v>
      </c>
      <c r="K278" s="1021">
        <v>0</v>
      </c>
      <c r="L278" s="1021">
        <v>0</v>
      </c>
      <c r="M278" s="1021">
        <v>0</v>
      </c>
      <c r="N278" s="1021">
        <v>0</v>
      </c>
      <c r="O278" s="1021">
        <v>0</v>
      </c>
      <c r="P278" s="1021">
        <v>0</v>
      </c>
      <c r="Q278" s="1021">
        <v>0</v>
      </c>
      <c r="R278" s="1021">
        <v>0</v>
      </c>
      <c r="S278" s="1021">
        <v>0</v>
      </c>
      <c r="T278" s="1021">
        <v>0</v>
      </c>
      <c r="U278" s="1021">
        <v>0</v>
      </c>
      <c r="V278" s="1021">
        <v>0</v>
      </c>
      <c r="W278" s="1021">
        <v>0</v>
      </c>
      <c r="X278" s="1021">
        <v>0</v>
      </c>
      <c r="Y278" s="1021">
        <v>0</v>
      </c>
      <c r="Z278" s="1021">
        <v>0</v>
      </c>
      <c r="AA278" s="1021">
        <v>0</v>
      </c>
      <c r="AB278" s="1021">
        <v>0</v>
      </c>
      <c r="AC278" s="1021">
        <v>0</v>
      </c>
      <c r="AD278" s="1021">
        <v>0</v>
      </c>
      <c r="AE278" s="1021">
        <v>0</v>
      </c>
      <c r="AF278" s="1021">
        <v>0</v>
      </c>
      <c r="AG278" s="1021">
        <v>0</v>
      </c>
      <c r="AH278" s="1021">
        <v>0</v>
      </c>
      <c r="AI278" s="1021">
        <v>0</v>
      </c>
      <c r="AJ278" s="1021">
        <v>0</v>
      </c>
      <c r="AK278" s="1021">
        <v>0</v>
      </c>
      <c r="AL278" s="1021">
        <v>0</v>
      </c>
      <c r="AM278" s="1021">
        <v>0</v>
      </c>
      <c r="AN278" s="1021">
        <v>0</v>
      </c>
      <c r="AO278" s="1021">
        <v>0</v>
      </c>
      <c r="AP278" s="1021">
        <v>0</v>
      </c>
      <c r="AQ278" s="1021">
        <v>0</v>
      </c>
      <c r="AR278" s="1021">
        <v>0</v>
      </c>
      <c r="AS278" s="1021">
        <v>0</v>
      </c>
      <c r="AT278" s="1021">
        <v>0</v>
      </c>
      <c r="AU278" s="1021">
        <v>0</v>
      </c>
      <c r="AV278" s="1021">
        <v>0</v>
      </c>
      <c r="AW278" s="1021">
        <v>0</v>
      </c>
      <c r="AX278" s="1021">
        <v>0</v>
      </c>
      <c r="AY278" s="1021">
        <v>0</v>
      </c>
      <c r="AZ278" s="1021">
        <v>0</v>
      </c>
      <c r="BA278" s="1021">
        <v>0</v>
      </c>
      <c r="BB278" s="1021">
        <v>0</v>
      </c>
      <c r="BC278" s="1021">
        <v>0</v>
      </c>
      <c r="BD278" s="1021">
        <v>0</v>
      </c>
      <c r="BE278" s="1021">
        <v>0</v>
      </c>
      <c r="BF278" s="1021">
        <v>0</v>
      </c>
      <c r="BG278" s="1021">
        <v>0</v>
      </c>
      <c r="BH278" s="1021">
        <v>0</v>
      </c>
      <c r="BI278" s="1021">
        <v>0</v>
      </c>
      <c r="BJ278" s="1021">
        <v>0</v>
      </c>
      <c r="BK278" s="1021">
        <v>0</v>
      </c>
      <c r="BL278" s="1021">
        <v>0</v>
      </c>
      <c r="BM278" s="1021">
        <v>0</v>
      </c>
      <c r="BN278" s="1021">
        <v>0</v>
      </c>
      <c r="BO278" s="1021">
        <v>0</v>
      </c>
      <c r="BP278" s="1021">
        <v>0</v>
      </c>
      <c r="BQ278" s="1021">
        <v>0</v>
      </c>
      <c r="BR278" s="1021">
        <v>0</v>
      </c>
      <c r="BS278" s="1021">
        <v>0</v>
      </c>
      <c r="BT278" s="1021">
        <v>0</v>
      </c>
      <c r="BU278" s="1021">
        <v>0</v>
      </c>
      <c r="BV278" s="1021">
        <v>0</v>
      </c>
      <c r="BW278" s="1021">
        <v>0</v>
      </c>
      <c r="BX278" s="1021">
        <v>0</v>
      </c>
      <c r="BY278" s="1021">
        <v>0</v>
      </c>
      <c r="BZ278" s="1021">
        <v>0</v>
      </c>
      <c r="CA278" s="1021">
        <v>0</v>
      </c>
      <c r="CB278" s="1021">
        <v>0</v>
      </c>
    </row>
    <row r="279" spans="1:80" x14ac:dyDescent="0.3">
      <c r="A279" s="269">
        <v>619</v>
      </c>
      <c r="B279" s="269">
        <v>619</v>
      </c>
      <c r="C279" s="269" t="s">
        <v>713</v>
      </c>
      <c r="E279" s="1021">
        <v>0</v>
      </c>
      <c r="F279" s="1021">
        <v>0</v>
      </c>
      <c r="G279" s="1021">
        <v>0</v>
      </c>
      <c r="H279" s="1021">
        <v>0</v>
      </c>
      <c r="I279" s="1021">
        <v>0</v>
      </c>
      <c r="J279" s="1021">
        <v>0</v>
      </c>
      <c r="K279" s="1021">
        <v>0</v>
      </c>
      <c r="L279" s="1021">
        <v>0</v>
      </c>
      <c r="M279" s="1021">
        <v>0</v>
      </c>
      <c r="N279" s="1021">
        <v>0</v>
      </c>
      <c r="O279" s="1021">
        <v>0</v>
      </c>
      <c r="P279" s="1021">
        <v>0</v>
      </c>
      <c r="Q279" s="1021">
        <v>0</v>
      </c>
      <c r="R279" s="1021">
        <v>0</v>
      </c>
      <c r="S279" s="1021">
        <v>0</v>
      </c>
      <c r="T279" s="1021">
        <v>0</v>
      </c>
      <c r="U279" s="1021">
        <v>0</v>
      </c>
      <c r="V279" s="1021">
        <v>0</v>
      </c>
      <c r="W279" s="1021">
        <v>0</v>
      </c>
      <c r="X279" s="1021">
        <v>0</v>
      </c>
      <c r="Y279" s="1021">
        <v>0</v>
      </c>
      <c r="Z279" s="1021">
        <v>0</v>
      </c>
      <c r="AA279" s="1021">
        <v>0</v>
      </c>
      <c r="AB279" s="1021">
        <v>0</v>
      </c>
      <c r="AC279" s="1021">
        <v>0</v>
      </c>
      <c r="AD279" s="1021">
        <v>0</v>
      </c>
      <c r="AE279" s="1021">
        <v>0</v>
      </c>
      <c r="AF279" s="1021">
        <v>0</v>
      </c>
      <c r="AG279" s="1021">
        <v>0</v>
      </c>
      <c r="AH279" s="1021">
        <v>0</v>
      </c>
      <c r="AI279" s="1021">
        <v>0</v>
      </c>
      <c r="AJ279" s="1021">
        <v>0</v>
      </c>
      <c r="AK279" s="1021">
        <v>0</v>
      </c>
      <c r="AL279" s="1021">
        <v>0</v>
      </c>
      <c r="AM279" s="1021">
        <v>0</v>
      </c>
      <c r="AN279" s="1021">
        <v>0</v>
      </c>
      <c r="AO279" s="1021">
        <v>0</v>
      </c>
      <c r="AP279" s="1021">
        <v>0</v>
      </c>
      <c r="AQ279" s="1021">
        <v>0</v>
      </c>
      <c r="AR279" s="1021">
        <v>0</v>
      </c>
      <c r="AS279" s="1021">
        <v>0</v>
      </c>
      <c r="AT279" s="1021">
        <v>0</v>
      </c>
      <c r="AU279" s="1021">
        <v>0</v>
      </c>
      <c r="AV279" s="1021">
        <v>0</v>
      </c>
      <c r="AW279" s="1021">
        <v>0</v>
      </c>
      <c r="AX279" s="1021">
        <v>0</v>
      </c>
      <c r="AY279" s="1021">
        <v>0</v>
      </c>
      <c r="AZ279" s="1021">
        <v>0</v>
      </c>
      <c r="BA279" s="1021">
        <v>0</v>
      </c>
      <c r="BB279" s="1021">
        <v>0</v>
      </c>
      <c r="BC279" s="1021">
        <v>0</v>
      </c>
      <c r="BD279" s="1021">
        <v>0</v>
      </c>
      <c r="BE279" s="1021">
        <v>0</v>
      </c>
      <c r="BF279" s="1021">
        <v>0</v>
      </c>
      <c r="BG279" s="1021">
        <v>0</v>
      </c>
      <c r="BH279" s="1021">
        <v>0</v>
      </c>
      <c r="BI279" s="1021">
        <v>0</v>
      </c>
      <c r="BJ279" s="1021">
        <v>0</v>
      </c>
      <c r="BK279" s="1021">
        <v>0</v>
      </c>
      <c r="BL279" s="1021">
        <v>0</v>
      </c>
      <c r="BM279" s="1021">
        <v>0</v>
      </c>
      <c r="BN279" s="1021">
        <v>0</v>
      </c>
      <c r="BO279" s="1021">
        <v>0</v>
      </c>
      <c r="BP279" s="1021">
        <v>0</v>
      </c>
      <c r="BQ279" s="1021">
        <v>0</v>
      </c>
      <c r="BR279" s="1021">
        <v>0</v>
      </c>
      <c r="BS279" s="1021">
        <v>0</v>
      </c>
      <c r="BT279" s="1021">
        <v>0</v>
      </c>
      <c r="BU279" s="1021">
        <v>0</v>
      </c>
      <c r="BV279" s="1021">
        <v>0</v>
      </c>
      <c r="BW279" s="1021">
        <v>0</v>
      </c>
      <c r="BX279" s="1021">
        <v>0</v>
      </c>
      <c r="BY279" s="1021">
        <v>0</v>
      </c>
      <c r="BZ279" s="1021">
        <v>0</v>
      </c>
      <c r="CA279" s="1021">
        <v>0</v>
      </c>
      <c r="CB279" s="1021">
        <v>0</v>
      </c>
    </row>
    <row r="280" spans="1:80" x14ac:dyDescent="0.3">
      <c r="A280" s="269">
        <v>620</v>
      </c>
      <c r="B280" s="269">
        <v>620</v>
      </c>
      <c r="C280" s="269" t="s">
        <v>701</v>
      </c>
      <c r="E280" s="1021">
        <v>1</v>
      </c>
      <c r="F280" s="1021">
        <v>1</v>
      </c>
      <c r="G280" s="1021">
        <v>0</v>
      </c>
      <c r="H280" s="1021">
        <v>1</v>
      </c>
      <c r="I280" s="1021">
        <v>2</v>
      </c>
      <c r="J280" s="1021">
        <v>2</v>
      </c>
      <c r="K280" s="1021">
        <v>2</v>
      </c>
      <c r="L280" s="1021">
        <v>2</v>
      </c>
      <c r="M280" s="1021">
        <v>2</v>
      </c>
      <c r="N280" s="1021">
        <v>2</v>
      </c>
      <c r="O280" s="1021">
        <v>2</v>
      </c>
      <c r="P280" s="1021">
        <v>2</v>
      </c>
      <c r="Q280" s="1021">
        <v>2</v>
      </c>
      <c r="R280" s="1021">
        <v>2</v>
      </c>
      <c r="S280" s="1021">
        <v>2</v>
      </c>
      <c r="T280" s="1021">
        <v>2</v>
      </c>
      <c r="U280" s="1021">
        <v>0</v>
      </c>
      <c r="V280" s="1021">
        <v>2</v>
      </c>
      <c r="W280" s="1021">
        <v>2</v>
      </c>
      <c r="X280" s="1021">
        <v>2</v>
      </c>
      <c r="Y280" s="1021">
        <v>1</v>
      </c>
      <c r="Z280" s="1021">
        <v>2</v>
      </c>
      <c r="AA280" s="1021">
        <v>1</v>
      </c>
      <c r="AB280" s="1021">
        <v>1</v>
      </c>
      <c r="AC280" s="1021">
        <v>2</v>
      </c>
      <c r="AD280" s="1021">
        <v>1</v>
      </c>
      <c r="AE280" s="1021">
        <v>2</v>
      </c>
      <c r="AF280" s="1021">
        <v>2</v>
      </c>
      <c r="AG280" s="1021">
        <v>1</v>
      </c>
      <c r="AH280" s="1021">
        <v>0</v>
      </c>
      <c r="AI280" s="1021">
        <v>2</v>
      </c>
      <c r="AJ280" s="1021">
        <v>2</v>
      </c>
      <c r="AK280" s="1021">
        <v>2</v>
      </c>
      <c r="AL280" s="1021">
        <v>2</v>
      </c>
      <c r="AM280" s="1021">
        <v>2</v>
      </c>
      <c r="AN280" s="1021">
        <v>2</v>
      </c>
      <c r="AO280" s="1021">
        <v>0</v>
      </c>
      <c r="AP280" s="1021">
        <v>2</v>
      </c>
      <c r="AQ280" s="1021">
        <v>2</v>
      </c>
      <c r="AR280" s="1021">
        <v>1</v>
      </c>
      <c r="AS280" s="1021">
        <v>2</v>
      </c>
      <c r="AT280" s="1021">
        <v>2</v>
      </c>
      <c r="AU280" s="1021">
        <v>2</v>
      </c>
      <c r="AV280" s="1021">
        <v>2</v>
      </c>
      <c r="AW280" s="1021">
        <v>2</v>
      </c>
      <c r="AX280" s="1021">
        <v>2</v>
      </c>
      <c r="AY280" s="1021">
        <v>2</v>
      </c>
      <c r="AZ280" s="1021">
        <v>2</v>
      </c>
      <c r="BA280" s="1021">
        <v>2</v>
      </c>
      <c r="BB280" s="1021">
        <v>2</v>
      </c>
      <c r="BC280" s="1021">
        <v>0</v>
      </c>
      <c r="BD280" s="1021">
        <v>0</v>
      </c>
      <c r="BE280" s="1021">
        <v>0</v>
      </c>
      <c r="BF280" s="1021">
        <v>0</v>
      </c>
      <c r="BG280" s="1021">
        <v>2</v>
      </c>
      <c r="BH280" s="1021">
        <v>2</v>
      </c>
      <c r="BI280" s="1021">
        <v>2</v>
      </c>
      <c r="BJ280" s="1021">
        <v>2</v>
      </c>
      <c r="BK280" s="1021">
        <v>0</v>
      </c>
      <c r="BL280" s="1021">
        <v>2</v>
      </c>
      <c r="BM280" s="1021">
        <v>2</v>
      </c>
      <c r="BN280" s="1021">
        <v>0</v>
      </c>
      <c r="BO280" s="1021">
        <v>2</v>
      </c>
      <c r="BP280" s="1021">
        <v>2</v>
      </c>
      <c r="BQ280" s="1021">
        <v>2</v>
      </c>
      <c r="BR280" s="1021">
        <v>2</v>
      </c>
      <c r="BS280" s="1021">
        <v>2</v>
      </c>
      <c r="BT280" s="1021">
        <v>2</v>
      </c>
      <c r="BU280" s="1021">
        <v>2</v>
      </c>
      <c r="BV280" s="1021">
        <v>2</v>
      </c>
      <c r="BW280" s="1021">
        <v>2</v>
      </c>
      <c r="BX280" s="1021">
        <v>2</v>
      </c>
      <c r="BY280" s="1021">
        <v>2</v>
      </c>
      <c r="BZ280" s="1021">
        <v>2</v>
      </c>
      <c r="CA280" s="1021">
        <v>1</v>
      </c>
      <c r="CB280" s="1021">
        <v>2</v>
      </c>
    </row>
    <row r="281" spans="1:80" x14ac:dyDescent="0.3">
      <c r="A281" s="269">
        <v>621</v>
      </c>
      <c r="B281" s="269">
        <v>621</v>
      </c>
      <c r="C281" s="269" t="s">
        <v>719</v>
      </c>
      <c r="E281" s="1021">
        <v>0</v>
      </c>
      <c r="F281" s="1021">
        <v>0</v>
      </c>
      <c r="G281" s="1021">
        <v>0</v>
      </c>
      <c r="H281" s="1021">
        <v>0</v>
      </c>
      <c r="I281" s="1021">
        <v>0</v>
      </c>
      <c r="J281" s="1021">
        <v>0</v>
      </c>
      <c r="K281" s="1021">
        <v>0</v>
      </c>
      <c r="L281" s="1021">
        <v>0</v>
      </c>
      <c r="M281" s="1021">
        <v>0</v>
      </c>
      <c r="N281" s="1021">
        <v>0</v>
      </c>
      <c r="O281" s="1021">
        <v>0</v>
      </c>
      <c r="P281" s="1021">
        <v>0</v>
      </c>
      <c r="Q281" s="1021">
        <v>0</v>
      </c>
      <c r="R281" s="1021">
        <v>0</v>
      </c>
      <c r="S281" s="1021">
        <v>0</v>
      </c>
      <c r="T281" s="1021">
        <v>0</v>
      </c>
      <c r="U281" s="1021">
        <v>0</v>
      </c>
      <c r="V281" s="1021">
        <v>4743598</v>
      </c>
      <c r="W281" s="1021">
        <v>0</v>
      </c>
      <c r="X281" s="1021">
        <v>0</v>
      </c>
      <c r="Y281" s="1021">
        <v>0</v>
      </c>
      <c r="Z281" s="1021">
        <v>0</v>
      </c>
      <c r="AA281" s="1021">
        <v>0</v>
      </c>
      <c r="AB281" s="1021">
        <v>2243524</v>
      </c>
      <c r="AC281" s="1021">
        <v>0</v>
      </c>
      <c r="AD281" s="1021">
        <v>0</v>
      </c>
      <c r="AE281" s="1021">
        <v>0</v>
      </c>
      <c r="AF281" s="1021">
        <v>0</v>
      </c>
      <c r="AG281" s="1021">
        <v>0</v>
      </c>
      <c r="AH281" s="1021">
        <v>0</v>
      </c>
      <c r="AI281" s="1021">
        <v>0</v>
      </c>
      <c r="AJ281" s="1021">
        <v>0</v>
      </c>
      <c r="AK281" s="1021">
        <v>0</v>
      </c>
      <c r="AL281" s="1021">
        <v>0</v>
      </c>
      <c r="AM281" s="1021">
        <v>0</v>
      </c>
      <c r="AN281" s="1021">
        <v>0</v>
      </c>
      <c r="AO281" s="1021">
        <v>0</v>
      </c>
      <c r="AP281" s="1021">
        <v>0</v>
      </c>
      <c r="AQ281" s="1021">
        <v>0</v>
      </c>
      <c r="AR281" s="1021">
        <v>0</v>
      </c>
      <c r="AS281" s="1021">
        <v>0</v>
      </c>
      <c r="AT281" s="1021">
        <v>0</v>
      </c>
      <c r="AU281" s="1021">
        <v>0</v>
      </c>
      <c r="AV281" s="1021">
        <v>0</v>
      </c>
      <c r="AW281" s="1021">
        <v>0</v>
      </c>
      <c r="AX281" s="1021">
        <v>0</v>
      </c>
      <c r="AY281" s="1021">
        <v>0</v>
      </c>
      <c r="AZ281" s="1021">
        <v>0</v>
      </c>
      <c r="BA281" s="1021">
        <v>0</v>
      </c>
      <c r="BB281" s="1021">
        <v>0</v>
      </c>
      <c r="BC281" s="1021">
        <v>0</v>
      </c>
      <c r="BD281" s="1021">
        <v>0</v>
      </c>
      <c r="BE281" s="1021">
        <v>0</v>
      </c>
      <c r="BF281" s="1021">
        <v>0</v>
      </c>
      <c r="BG281" s="1021">
        <v>0</v>
      </c>
      <c r="BH281" s="1021">
        <v>0</v>
      </c>
      <c r="BI281" s="1021">
        <v>0</v>
      </c>
      <c r="BJ281" s="1021">
        <v>0</v>
      </c>
      <c r="BK281" s="1021">
        <v>0</v>
      </c>
      <c r="BL281" s="1021">
        <v>0</v>
      </c>
      <c r="BM281" s="1021">
        <v>0</v>
      </c>
      <c r="BN281" s="1021">
        <v>0</v>
      </c>
      <c r="BO281" s="1021">
        <v>0</v>
      </c>
      <c r="BP281" s="1021">
        <v>0</v>
      </c>
      <c r="BQ281" s="1021">
        <v>0</v>
      </c>
      <c r="BR281" s="1021">
        <v>0</v>
      </c>
      <c r="BS281" s="1021">
        <v>0</v>
      </c>
      <c r="BT281" s="1021">
        <v>0</v>
      </c>
      <c r="BU281" s="1021">
        <v>0</v>
      </c>
      <c r="BV281" s="1021">
        <v>0</v>
      </c>
      <c r="BW281" s="1021">
        <v>0</v>
      </c>
      <c r="BX281" s="1021">
        <v>0</v>
      </c>
      <c r="BY281" s="1021">
        <v>0</v>
      </c>
      <c r="BZ281" s="1021">
        <v>0</v>
      </c>
      <c r="CA281" s="1021">
        <v>0</v>
      </c>
      <c r="CB281" s="1021">
        <v>0</v>
      </c>
    </row>
    <row r="282" spans="1:80" x14ac:dyDescent="0.3">
      <c r="A282" s="269">
        <v>622</v>
      </c>
      <c r="B282" s="269">
        <v>622</v>
      </c>
      <c r="C282" s="269" t="s">
        <v>724</v>
      </c>
      <c r="E282" s="1021">
        <v>433190</v>
      </c>
      <c r="F282" s="1021">
        <v>838148</v>
      </c>
      <c r="G282" s="1021">
        <v>0</v>
      </c>
      <c r="H282" s="1021">
        <v>9254032</v>
      </c>
      <c r="I282" s="1021">
        <v>483721</v>
      </c>
      <c r="J282" s="1021">
        <v>47448</v>
      </c>
      <c r="K282" s="1021">
        <v>195718</v>
      </c>
      <c r="L282" s="1021">
        <v>311251</v>
      </c>
      <c r="M282" s="1021">
        <v>7117026</v>
      </c>
      <c r="N282" s="1021">
        <v>0</v>
      </c>
      <c r="O282" s="1021">
        <v>126446</v>
      </c>
      <c r="P282" s="1021">
        <v>210190</v>
      </c>
      <c r="Q282" s="1021">
        <v>5066136</v>
      </c>
      <c r="R282" s="1021">
        <v>2372816</v>
      </c>
      <c r="S282" s="1021">
        <v>1563803</v>
      </c>
      <c r="T282" s="1021">
        <v>2938382</v>
      </c>
      <c r="U282" s="1021">
        <v>0</v>
      </c>
      <c r="V282" s="1021">
        <v>5135171</v>
      </c>
      <c r="W282" s="1021">
        <v>0</v>
      </c>
      <c r="X282" s="1021">
        <v>1041458</v>
      </c>
      <c r="Y282" s="1021">
        <v>1954098</v>
      </c>
      <c r="Z282" s="1021">
        <v>848824</v>
      </c>
      <c r="AA282" s="1021">
        <v>347074</v>
      </c>
      <c r="AB282" s="1021">
        <v>544926</v>
      </c>
      <c r="AC282" s="1021">
        <v>0</v>
      </c>
      <c r="AD282" s="1021">
        <v>0</v>
      </c>
      <c r="AE282" s="1021">
        <v>160132</v>
      </c>
      <c r="AF282" s="1021">
        <v>640295</v>
      </c>
      <c r="AG282" s="1021">
        <v>0</v>
      </c>
      <c r="AH282" s="1021">
        <v>0</v>
      </c>
      <c r="AI282" s="1021">
        <v>0</v>
      </c>
      <c r="AJ282" s="1021">
        <v>376728</v>
      </c>
      <c r="AK282" s="1021">
        <v>2593444</v>
      </c>
      <c r="AL282" s="1021">
        <v>21826</v>
      </c>
      <c r="AM282" s="1021">
        <v>0</v>
      </c>
      <c r="AN282" s="1021">
        <v>2239727</v>
      </c>
      <c r="AO282" s="1021">
        <v>3518658</v>
      </c>
      <c r="AP282" s="1021">
        <v>18504</v>
      </c>
      <c r="AQ282" s="1021">
        <v>188838</v>
      </c>
      <c r="AR282" s="1021">
        <v>5836199</v>
      </c>
      <c r="AS282" s="1021">
        <v>496059</v>
      </c>
      <c r="AT282" s="1021">
        <v>49582</v>
      </c>
      <c r="AU282" s="1021">
        <v>668226</v>
      </c>
      <c r="AV282" s="1021">
        <v>2261791</v>
      </c>
      <c r="AW282" s="1021">
        <v>10438</v>
      </c>
      <c r="AX282" s="1021">
        <v>85879</v>
      </c>
      <c r="AY282" s="1021">
        <v>465216</v>
      </c>
      <c r="AZ282" s="1021">
        <v>628196</v>
      </c>
      <c r="BA282" s="1021">
        <v>1100529</v>
      </c>
      <c r="BB282" s="1021">
        <v>0</v>
      </c>
      <c r="BC282" s="1021">
        <v>0</v>
      </c>
      <c r="BD282" s="1021">
        <v>0</v>
      </c>
      <c r="BE282" s="1021">
        <v>0</v>
      </c>
      <c r="BF282" s="1021">
        <v>0</v>
      </c>
      <c r="BG282" s="1021">
        <v>65239</v>
      </c>
      <c r="BH282" s="1021">
        <v>0</v>
      </c>
      <c r="BI282" s="1021">
        <v>478264</v>
      </c>
      <c r="BJ282" s="1021">
        <v>381473</v>
      </c>
      <c r="BK282" s="1021">
        <v>0</v>
      </c>
      <c r="BL282" s="1021">
        <v>895322</v>
      </c>
      <c r="BM282" s="1021">
        <v>559398</v>
      </c>
      <c r="BN282" s="1021">
        <v>0</v>
      </c>
      <c r="BO282" s="1021">
        <v>1322818</v>
      </c>
      <c r="BP282" s="1021">
        <v>340431</v>
      </c>
      <c r="BQ282" s="1021">
        <v>160845</v>
      </c>
      <c r="BR282" s="1021">
        <v>313149</v>
      </c>
      <c r="BS282" s="1021">
        <v>34636</v>
      </c>
      <c r="BT282" s="1021">
        <v>2787739</v>
      </c>
      <c r="BU282" s="1021">
        <v>322639</v>
      </c>
      <c r="BV282" s="1021">
        <v>538522</v>
      </c>
      <c r="BW282" s="1021">
        <v>135223</v>
      </c>
      <c r="BX282" s="1021">
        <v>36771</v>
      </c>
      <c r="BY282" s="1021">
        <v>0</v>
      </c>
      <c r="BZ282" s="1021">
        <v>0</v>
      </c>
      <c r="CA282" s="1021">
        <v>2546709</v>
      </c>
      <c r="CB282" s="1021">
        <v>0</v>
      </c>
    </row>
    <row r="283" spans="1:80" x14ac:dyDescent="0.3">
      <c r="A283" s="269">
        <v>624</v>
      </c>
      <c r="B283" s="269">
        <v>624</v>
      </c>
      <c r="C283" s="269" t="s">
        <v>723</v>
      </c>
      <c r="E283" s="1021">
        <v>2</v>
      </c>
      <c r="F283" s="1021">
        <v>1</v>
      </c>
      <c r="G283" s="1021">
        <v>0</v>
      </c>
      <c r="H283" s="1021">
        <v>1</v>
      </c>
      <c r="I283" s="1021">
        <v>1</v>
      </c>
      <c r="J283" s="1021">
        <v>1</v>
      </c>
      <c r="K283" s="1021">
        <v>2</v>
      </c>
      <c r="L283" s="1021">
        <v>2</v>
      </c>
      <c r="M283" s="1021">
        <v>1</v>
      </c>
      <c r="N283" s="1021">
        <v>1</v>
      </c>
      <c r="O283" s="1021">
        <v>1</v>
      </c>
      <c r="P283" s="1021">
        <v>1</v>
      </c>
      <c r="Q283" s="1021">
        <v>1</v>
      </c>
      <c r="R283" s="1021">
        <v>1</v>
      </c>
      <c r="S283" s="1021">
        <v>1</v>
      </c>
      <c r="T283" s="1021">
        <v>1</v>
      </c>
      <c r="U283" s="1021">
        <v>0</v>
      </c>
      <c r="V283" s="1021">
        <v>1</v>
      </c>
      <c r="W283" s="1021">
        <v>1</v>
      </c>
      <c r="X283" s="1021">
        <v>1</v>
      </c>
      <c r="Y283" s="1021">
        <v>1</v>
      </c>
      <c r="Z283" s="1021">
        <v>1</v>
      </c>
      <c r="AA283" s="1021">
        <v>1</v>
      </c>
      <c r="AB283" s="1021">
        <v>1</v>
      </c>
      <c r="AC283" s="1021">
        <v>1</v>
      </c>
      <c r="AD283" s="1021">
        <v>1</v>
      </c>
      <c r="AE283" s="1021">
        <v>1</v>
      </c>
      <c r="AF283" s="1021">
        <v>1</v>
      </c>
      <c r="AG283" s="1021">
        <v>2</v>
      </c>
      <c r="AH283" s="1021">
        <v>1</v>
      </c>
      <c r="AI283" s="1021">
        <v>1</v>
      </c>
      <c r="AJ283" s="1021">
        <v>2</v>
      </c>
      <c r="AK283" s="1021">
        <v>1</v>
      </c>
      <c r="AL283" s="1021">
        <v>1</v>
      </c>
      <c r="AM283" s="1021">
        <v>0</v>
      </c>
      <c r="AN283" s="1021">
        <v>1</v>
      </c>
      <c r="AO283" s="1021">
        <v>2</v>
      </c>
      <c r="AP283" s="1021">
        <v>2</v>
      </c>
      <c r="AQ283" s="1021">
        <v>1</v>
      </c>
      <c r="AR283" s="1021">
        <v>1</v>
      </c>
      <c r="AS283" s="1021">
        <v>1</v>
      </c>
      <c r="AT283" s="1021">
        <v>2</v>
      </c>
      <c r="AU283" s="1021">
        <v>1</v>
      </c>
      <c r="AV283" s="1021">
        <v>1</v>
      </c>
      <c r="AW283" s="1021">
        <v>1</v>
      </c>
      <c r="AX283" s="1021">
        <v>2</v>
      </c>
      <c r="AY283" s="1021">
        <v>1</v>
      </c>
      <c r="AZ283" s="1021">
        <v>1</v>
      </c>
      <c r="BA283" s="1021">
        <v>1</v>
      </c>
      <c r="BB283" s="1021">
        <v>1</v>
      </c>
      <c r="BC283" s="1021">
        <v>0</v>
      </c>
      <c r="BD283" s="1021">
        <v>0</v>
      </c>
      <c r="BE283" s="1021">
        <v>1</v>
      </c>
      <c r="BF283" s="1021">
        <v>0</v>
      </c>
      <c r="BG283" s="1021">
        <v>1</v>
      </c>
      <c r="BH283" s="1021">
        <v>1</v>
      </c>
      <c r="BI283" s="1021">
        <v>2</v>
      </c>
      <c r="BJ283" s="1021">
        <v>2</v>
      </c>
      <c r="BK283" s="1021">
        <v>0</v>
      </c>
      <c r="BL283" s="1021">
        <v>1</v>
      </c>
      <c r="BM283" s="1021">
        <v>1</v>
      </c>
      <c r="BN283" s="1021">
        <v>2</v>
      </c>
      <c r="BO283" s="1021">
        <v>2</v>
      </c>
      <c r="BP283" s="1021">
        <v>2</v>
      </c>
      <c r="BQ283" s="1021">
        <v>2</v>
      </c>
      <c r="BR283" s="1021">
        <v>1</v>
      </c>
      <c r="BS283" s="1021">
        <v>1</v>
      </c>
      <c r="BT283" s="1021">
        <v>1</v>
      </c>
      <c r="BU283" s="1021">
        <v>2</v>
      </c>
      <c r="BV283" s="1021">
        <v>1</v>
      </c>
      <c r="BW283" s="1021">
        <v>1</v>
      </c>
      <c r="BX283" s="1021">
        <v>1</v>
      </c>
      <c r="BY283" s="1021">
        <v>1</v>
      </c>
      <c r="BZ283" s="1021">
        <v>1</v>
      </c>
      <c r="CA283" s="1021">
        <v>1</v>
      </c>
      <c r="CB283" s="1021">
        <v>2</v>
      </c>
    </row>
    <row r="284" spans="1:80" x14ac:dyDescent="0.3">
      <c r="A284" s="269">
        <v>625</v>
      </c>
      <c r="B284" s="269">
        <v>625</v>
      </c>
      <c r="C284" s="269" t="s">
        <v>822</v>
      </c>
      <c r="E284" s="1021">
        <v>4</v>
      </c>
      <c r="F284" s="1021">
        <v>1</v>
      </c>
      <c r="G284" s="1021">
        <v>0</v>
      </c>
      <c r="H284" s="1021">
        <v>1</v>
      </c>
      <c r="I284" s="1021">
        <v>1</v>
      </c>
      <c r="J284" s="1021">
        <v>4</v>
      </c>
      <c r="K284" s="1021">
        <v>1</v>
      </c>
      <c r="L284" s="1021">
        <v>3</v>
      </c>
      <c r="M284" s="1021">
        <v>1</v>
      </c>
      <c r="N284" s="1021">
        <v>1</v>
      </c>
      <c r="O284" s="1021">
        <v>3</v>
      </c>
      <c r="P284" s="1021">
        <v>1</v>
      </c>
      <c r="Q284" s="1021">
        <v>1</v>
      </c>
      <c r="R284" s="1021">
        <v>1</v>
      </c>
      <c r="S284" s="1021">
        <v>1</v>
      </c>
      <c r="T284" s="1021">
        <v>1</v>
      </c>
      <c r="U284" s="1021">
        <v>0</v>
      </c>
      <c r="V284" s="1021">
        <v>3</v>
      </c>
      <c r="W284" s="1021">
        <v>3</v>
      </c>
      <c r="X284" s="1021">
        <v>1</v>
      </c>
      <c r="Y284" s="1021">
        <v>1</v>
      </c>
      <c r="Z284" s="1021">
        <v>1</v>
      </c>
      <c r="AA284" s="1021">
        <v>1</v>
      </c>
      <c r="AB284" s="1021">
        <v>1</v>
      </c>
      <c r="AC284" s="1021">
        <v>1</v>
      </c>
      <c r="AD284" s="1021">
        <v>1</v>
      </c>
      <c r="AE284" s="1021">
        <v>3</v>
      </c>
      <c r="AF284" s="1021">
        <v>3</v>
      </c>
      <c r="AG284" s="1021">
        <v>1</v>
      </c>
      <c r="AH284" s="1021">
        <v>1</v>
      </c>
      <c r="AI284" s="1021">
        <v>1</v>
      </c>
      <c r="AJ284" s="1021">
        <v>1</v>
      </c>
      <c r="AK284" s="1021">
        <v>1</v>
      </c>
      <c r="AL284" s="1021">
        <v>1</v>
      </c>
      <c r="AM284" s="1021">
        <v>1</v>
      </c>
      <c r="AN284" s="1021">
        <v>1</v>
      </c>
      <c r="AO284" s="1021">
        <v>1</v>
      </c>
      <c r="AP284" s="1021">
        <v>1</v>
      </c>
      <c r="AQ284" s="1021">
        <v>1</v>
      </c>
      <c r="AR284" s="1021">
        <v>1</v>
      </c>
      <c r="AS284" s="1021">
        <v>1</v>
      </c>
      <c r="AT284" s="1021">
        <v>1</v>
      </c>
      <c r="AU284" s="1021">
        <v>1</v>
      </c>
      <c r="AV284" s="1021">
        <v>1</v>
      </c>
      <c r="AW284" s="1021">
        <v>1</v>
      </c>
      <c r="AX284" s="1021">
        <v>3</v>
      </c>
      <c r="AY284" s="1021">
        <v>1</v>
      </c>
      <c r="AZ284" s="1021">
        <v>1</v>
      </c>
      <c r="BA284" s="1021">
        <v>4</v>
      </c>
      <c r="BB284" s="1021">
        <v>2</v>
      </c>
      <c r="BC284" s="1021">
        <v>0</v>
      </c>
      <c r="BD284" s="1021">
        <v>0</v>
      </c>
      <c r="BE284" s="1021">
        <v>1</v>
      </c>
      <c r="BF284" s="1021">
        <v>0</v>
      </c>
      <c r="BG284" s="1021">
        <v>4</v>
      </c>
      <c r="BH284" s="1021">
        <v>1</v>
      </c>
      <c r="BI284" s="1021">
        <v>3</v>
      </c>
      <c r="BJ284" s="1021">
        <v>1</v>
      </c>
      <c r="BK284" s="1021">
        <v>0</v>
      </c>
      <c r="BL284" s="1021">
        <v>1</v>
      </c>
      <c r="BM284" s="1021">
        <v>1</v>
      </c>
      <c r="BN284" s="1021">
        <v>1</v>
      </c>
      <c r="BO284" s="1021">
        <v>3</v>
      </c>
      <c r="BP284" s="1021">
        <v>3</v>
      </c>
      <c r="BQ284" s="1021">
        <v>1</v>
      </c>
      <c r="BR284" s="1021">
        <v>1</v>
      </c>
      <c r="BS284" s="1021">
        <v>1</v>
      </c>
      <c r="BT284" s="1021">
        <v>1</v>
      </c>
      <c r="BU284" s="1021">
        <v>3</v>
      </c>
      <c r="BV284" s="1021">
        <v>1</v>
      </c>
      <c r="BW284" s="1021">
        <v>3</v>
      </c>
      <c r="BX284" s="1021">
        <v>1</v>
      </c>
      <c r="BY284" s="1021">
        <v>1</v>
      </c>
      <c r="BZ284" s="1021">
        <v>1</v>
      </c>
      <c r="CA284" s="1021">
        <v>1</v>
      </c>
      <c r="CB284" s="1021">
        <v>1</v>
      </c>
    </row>
    <row r="285" spans="1:80" x14ac:dyDescent="0.3">
      <c r="E285" s="1138"/>
      <c r="F285" s="1138"/>
      <c r="G285" s="1138"/>
      <c r="H285" s="1138"/>
      <c r="I285" s="1138"/>
      <c r="J285" s="1138"/>
      <c r="K285" s="1138"/>
      <c r="L285" s="1138"/>
      <c r="M285" s="1138"/>
      <c r="N285" s="1138"/>
      <c r="O285" s="1138"/>
      <c r="P285" s="1138"/>
      <c r="Q285" s="1138"/>
      <c r="R285" s="1138"/>
      <c r="S285" s="1138"/>
      <c r="T285" s="1138"/>
      <c r="U285" s="1138"/>
      <c r="V285" s="1138"/>
      <c r="W285" s="1138"/>
      <c r="X285" s="1138"/>
      <c r="Y285" s="1138"/>
      <c r="Z285" s="1138"/>
      <c r="AA285" s="1138"/>
      <c r="AB285" s="1138"/>
      <c r="AC285" s="1138"/>
      <c r="AD285" s="1138"/>
      <c r="AE285" s="1138"/>
      <c r="AF285" s="1138"/>
      <c r="AG285" s="1138"/>
      <c r="AH285" s="1138"/>
      <c r="AI285" s="1138"/>
      <c r="AJ285" s="1138"/>
      <c r="AK285" s="1138"/>
      <c r="AL285" s="1138"/>
      <c r="AM285" s="1138"/>
      <c r="AN285" s="1138"/>
      <c r="AO285" s="1138"/>
      <c r="AP285" s="1138"/>
      <c r="AQ285" s="1138"/>
      <c r="AR285" s="1138"/>
      <c r="AS285" s="1138"/>
      <c r="AT285" s="1138"/>
      <c r="AU285" s="1138"/>
      <c r="AV285" s="1138"/>
      <c r="AW285" s="1138"/>
      <c r="AX285" s="1138"/>
      <c r="AY285" s="1138"/>
      <c r="AZ285" s="1138"/>
      <c r="BA285" s="1138"/>
      <c r="BB285" s="1138"/>
      <c r="BC285" s="1138"/>
      <c r="BD285" s="1138"/>
      <c r="BE285" s="1138"/>
      <c r="BF285" s="1138"/>
      <c r="BG285" s="1138"/>
      <c r="BH285" s="1138"/>
      <c r="BI285" s="1138"/>
      <c r="BJ285" s="1138"/>
      <c r="BK285" s="1138"/>
      <c r="BL285" s="1138"/>
      <c r="BM285" s="1138"/>
      <c r="BN285" s="1138"/>
      <c r="BO285" s="1138"/>
      <c r="BP285" s="1138"/>
      <c r="BQ285" s="1138"/>
      <c r="BR285" s="1138"/>
      <c r="BS285" s="1138"/>
      <c r="BT285" s="1138"/>
      <c r="BU285" s="1138"/>
      <c r="BV285" s="1138"/>
      <c r="BW285" s="1138"/>
      <c r="BX285" s="1138"/>
      <c r="BY285" s="1138"/>
      <c r="BZ285" s="1138"/>
      <c r="CA285" s="1138"/>
      <c r="CB285" s="1138"/>
    </row>
    <row r="286" spans="1:80" x14ac:dyDescent="0.3">
      <c r="A286" s="1140"/>
      <c r="B286" s="1140"/>
      <c r="C286" s="1141"/>
      <c r="D286" s="1142"/>
      <c r="E286" s="1143"/>
      <c r="F286" s="1143"/>
      <c r="G286" s="1143"/>
      <c r="H286" s="1143"/>
      <c r="I286" s="1143"/>
      <c r="J286" s="1143"/>
      <c r="K286" s="1143"/>
      <c r="L286" s="1143"/>
      <c r="M286" s="1143"/>
      <c r="N286" s="1143"/>
      <c r="O286" s="1143"/>
      <c r="P286" s="1143"/>
      <c r="Q286" s="1143"/>
      <c r="R286" s="1143"/>
      <c r="S286" s="1143"/>
      <c r="T286" s="1143"/>
      <c r="U286" s="1143"/>
      <c r="V286" s="1143"/>
      <c r="W286" s="1143"/>
      <c r="X286" s="1143"/>
      <c r="Y286" s="1143"/>
      <c r="Z286" s="1143"/>
      <c r="AA286" s="1143"/>
      <c r="AB286" s="1143"/>
      <c r="AC286" s="1143"/>
      <c r="AD286" s="1143"/>
      <c r="AE286" s="1143"/>
      <c r="AF286" s="1143"/>
      <c r="AG286" s="1143"/>
      <c r="AH286" s="1143"/>
      <c r="AI286" s="1143"/>
      <c r="AJ286" s="1143"/>
      <c r="AK286" s="1143"/>
      <c r="AL286" s="1143"/>
      <c r="AM286" s="1143"/>
      <c r="AN286" s="1143"/>
      <c r="AO286" s="1143"/>
      <c r="AP286" s="1143"/>
      <c r="AQ286" s="1143"/>
      <c r="AR286" s="1143"/>
      <c r="AS286" s="1143"/>
      <c r="AT286" s="1143"/>
      <c r="AU286" s="1143"/>
      <c r="AV286" s="1143"/>
      <c r="AW286" s="1143"/>
      <c r="AX286" s="1143"/>
      <c r="AY286" s="1143"/>
      <c r="AZ286" s="1143"/>
      <c r="BA286" s="1143"/>
      <c r="BB286" s="1143"/>
      <c r="BC286" s="1143"/>
      <c r="BD286" s="1143"/>
      <c r="BE286" s="1143"/>
      <c r="BF286" s="1143"/>
      <c r="BG286" s="1143"/>
      <c r="BH286" s="1143"/>
      <c r="BI286" s="1143"/>
      <c r="BJ286" s="1143"/>
      <c r="BK286" s="1143"/>
      <c r="BL286" s="1143"/>
      <c r="BM286" s="1143"/>
      <c r="BN286" s="1143"/>
      <c r="BO286" s="1143"/>
      <c r="BP286" s="1143"/>
      <c r="BQ286" s="1143"/>
      <c r="BR286" s="1143"/>
      <c r="BS286" s="1143"/>
      <c r="BT286" s="1144"/>
      <c r="BU286" s="1144"/>
      <c r="BV286" s="1144"/>
      <c r="BW286" s="1144"/>
      <c r="BX286" s="1144"/>
      <c r="BY286" s="1144"/>
      <c r="BZ286" s="1144"/>
      <c r="CA286" s="1144"/>
      <c r="CB286" s="1144"/>
    </row>
    <row r="287" spans="1:80" x14ac:dyDescent="0.3">
      <c r="A287" s="1140"/>
      <c r="B287" s="1140"/>
      <c r="C287" s="1141"/>
      <c r="D287" s="1142"/>
      <c r="E287" s="1143"/>
      <c r="F287" s="1143"/>
      <c r="G287" s="1143"/>
      <c r="H287" s="1143"/>
      <c r="I287" s="1143"/>
      <c r="J287" s="1143"/>
      <c r="K287" s="1143"/>
      <c r="L287" s="1143"/>
      <c r="M287" s="1143"/>
      <c r="N287" s="1143"/>
      <c r="O287" s="1143"/>
      <c r="P287" s="1143"/>
      <c r="Q287" s="1143"/>
      <c r="R287" s="1143"/>
      <c r="S287" s="1143"/>
      <c r="T287" s="1143"/>
      <c r="U287" s="1143"/>
      <c r="V287" s="1143"/>
      <c r="W287" s="1143"/>
      <c r="X287" s="1143"/>
      <c r="Y287" s="1143"/>
      <c r="Z287" s="1143"/>
      <c r="AA287" s="1143"/>
      <c r="AB287" s="1143"/>
      <c r="AC287" s="1143"/>
      <c r="AD287" s="1143"/>
      <c r="AE287" s="1143"/>
      <c r="AF287" s="1143"/>
      <c r="AG287" s="1143"/>
      <c r="AH287" s="1143"/>
      <c r="AI287" s="1143"/>
      <c r="AJ287" s="1143"/>
      <c r="AK287" s="1143"/>
      <c r="AL287" s="1143"/>
      <c r="AM287" s="1143"/>
      <c r="AN287" s="1143"/>
      <c r="AO287" s="1143"/>
      <c r="AP287" s="1143"/>
      <c r="AQ287" s="1143"/>
      <c r="AR287" s="1143"/>
      <c r="AS287" s="1143"/>
      <c r="AT287" s="1143"/>
      <c r="AU287" s="1143"/>
      <c r="AV287" s="1143"/>
      <c r="AW287" s="1143"/>
      <c r="AX287" s="1143"/>
      <c r="AY287" s="1143"/>
      <c r="AZ287" s="1143"/>
      <c r="BA287" s="1143"/>
      <c r="BB287" s="1143"/>
      <c r="BC287" s="1143"/>
      <c r="BD287" s="1143"/>
      <c r="BE287" s="1143"/>
      <c r="BF287" s="1143"/>
      <c r="BG287" s="1143"/>
      <c r="BH287" s="1143"/>
      <c r="BI287" s="1143"/>
      <c r="BJ287" s="1143"/>
      <c r="BK287" s="1143"/>
      <c r="BL287" s="1143"/>
      <c r="BM287" s="1143"/>
      <c r="BN287" s="1143"/>
      <c r="BO287" s="1143"/>
      <c r="BP287" s="1143"/>
      <c r="BQ287" s="1143"/>
      <c r="BR287" s="1143"/>
      <c r="BS287" s="1143"/>
      <c r="BT287" s="1143"/>
      <c r="BU287" s="1143"/>
      <c r="BV287" s="1143"/>
      <c r="BW287" s="1143"/>
      <c r="BX287" s="1143"/>
      <c r="BY287" s="1143"/>
      <c r="BZ287" s="1143"/>
      <c r="CA287" s="1143"/>
      <c r="CB287" s="1143"/>
    </row>
    <row r="288" spans="1:80" x14ac:dyDescent="0.3">
      <c r="A288" s="1140"/>
      <c r="B288" s="1140"/>
      <c r="C288" s="1141"/>
      <c r="D288" s="1142"/>
      <c r="E288" s="1143"/>
      <c r="F288" s="1143"/>
      <c r="G288" s="1143"/>
      <c r="H288" s="1143"/>
      <c r="I288" s="1143"/>
      <c r="J288" s="1143"/>
      <c r="K288" s="1143"/>
      <c r="L288" s="1143"/>
      <c r="M288" s="1143"/>
      <c r="N288" s="1143"/>
      <c r="O288" s="1143"/>
      <c r="P288" s="1143"/>
      <c r="Q288" s="1143"/>
      <c r="R288" s="1143"/>
      <c r="S288" s="1143"/>
      <c r="T288" s="1143"/>
      <c r="U288" s="1143"/>
      <c r="V288" s="1143"/>
      <c r="W288" s="1143"/>
      <c r="X288" s="1143"/>
      <c r="Y288" s="1143"/>
      <c r="Z288" s="1143"/>
      <c r="AA288" s="1143"/>
      <c r="AB288" s="1143"/>
      <c r="AC288" s="1143"/>
      <c r="AD288" s="1143"/>
      <c r="AE288" s="1143"/>
      <c r="AF288" s="1143"/>
      <c r="AG288" s="1143"/>
      <c r="AH288" s="1143"/>
      <c r="AI288" s="1143"/>
      <c r="AJ288" s="1143"/>
      <c r="AK288" s="1143"/>
      <c r="AL288" s="1143"/>
      <c r="AM288" s="1143"/>
      <c r="AN288" s="1143"/>
      <c r="AO288" s="1143"/>
      <c r="AP288" s="1143"/>
      <c r="AQ288" s="1143"/>
      <c r="AR288" s="1143"/>
      <c r="AS288" s="1143"/>
      <c r="AT288" s="1143"/>
      <c r="AU288" s="1143"/>
      <c r="AV288" s="1143"/>
      <c r="AW288" s="1143"/>
      <c r="AX288" s="1143"/>
      <c r="AY288" s="1143"/>
      <c r="AZ288" s="1143"/>
      <c r="BA288" s="1143"/>
      <c r="BB288" s="1143"/>
      <c r="BC288" s="1143"/>
      <c r="BD288" s="1143"/>
      <c r="BE288" s="1143"/>
      <c r="BF288" s="1143"/>
      <c r="BG288" s="1143"/>
      <c r="BH288" s="1143"/>
      <c r="BI288" s="1143"/>
      <c r="BJ288" s="1143"/>
      <c r="BK288" s="1143"/>
      <c r="BL288" s="1143"/>
      <c r="BM288" s="1143"/>
      <c r="BN288" s="1143"/>
      <c r="BO288" s="1143"/>
      <c r="BP288" s="1143"/>
      <c r="BQ288" s="1143"/>
      <c r="BR288" s="1143"/>
      <c r="BS288" s="1143"/>
    </row>
    <row r="289" spans="1:80" x14ac:dyDescent="0.3">
      <c r="A289" s="1140">
        <v>647</v>
      </c>
      <c r="B289" s="1140">
        <v>647</v>
      </c>
      <c r="C289" s="1141" t="s">
        <v>792</v>
      </c>
      <c r="D289" s="1142"/>
      <c r="E289" s="1143">
        <v>0</v>
      </c>
      <c r="F289" s="1143">
        <v>0</v>
      </c>
      <c r="G289" s="1143">
        <v>0</v>
      </c>
      <c r="H289" s="1143">
        <v>0</v>
      </c>
      <c r="I289" s="1143">
        <v>0</v>
      </c>
      <c r="J289" s="1143">
        <v>0</v>
      </c>
      <c r="K289" s="1143">
        <v>0</v>
      </c>
      <c r="L289" s="1143">
        <v>0</v>
      </c>
      <c r="M289" s="1143">
        <v>0</v>
      </c>
      <c r="N289" s="1143">
        <v>0</v>
      </c>
      <c r="O289" s="1143">
        <v>0</v>
      </c>
      <c r="P289" s="1143">
        <v>0</v>
      </c>
      <c r="Q289" s="1143">
        <v>0</v>
      </c>
      <c r="R289" s="1143">
        <v>0</v>
      </c>
      <c r="S289" s="1143">
        <v>0</v>
      </c>
      <c r="T289" s="1143">
        <v>0</v>
      </c>
      <c r="U289" s="1143">
        <v>0</v>
      </c>
      <c r="V289" s="1143">
        <v>0</v>
      </c>
      <c r="W289" s="1143">
        <v>0</v>
      </c>
      <c r="X289" s="1143">
        <v>0</v>
      </c>
      <c r="Y289" s="1143">
        <v>0</v>
      </c>
      <c r="Z289" s="1143">
        <v>0</v>
      </c>
      <c r="AA289" s="1143">
        <v>0</v>
      </c>
      <c r="AB289" s="1143">
        <v>0</v>
      </c>
      <c r="AC289" s="1143">
        <v>0</v>
      </c>
      <c r="AD289" s="1143">
        <v>0</v>
      </c>
      <c r="AE289" s="1143">
        <v>0</v>
      </c>
      <c r="AF289" s="1143">
        <v>0</v>
      </c>
      <c r="AG289" s="1143">
        <v>0</v>
      </c>
      <c r="AH289" s="1143">
        <v>0</v>
      </c>
      <c r="AI289" s="1143">
        <v>0</v>
      </c>
      <c r="AJ289" s="1143">
        <v>0</v>
      </c>
      <c r="AK289" s="1143">
        <v>0</v>
      </c>
      <c r="AL289" s="1143">
        <v>0</v>
      </c>
      <c r="AM289" s="1143">
        <v>0</v>
      </c>
      <c r="AN289" s="1143">
        <v>0</v>
      </c>
      <c r="AO289" s="1143">
        <v>0</v>
      </c>
      <c r="AP289" s="1143">
        <v>0</v>
      </c>
      <c r="AQ289" s="1143">
        <v>0</v>
      </c>
      <c r="AR289" s="1143">
        <v>0</v>
      </c>
      <c r="AS289" s="1143">
        <v>0</v>
      </c>
      <c r="AT289" s="1143">
        <v>0</v>
      </c>
      <c r="AU289" s="1143">
        <v>0</v>
      </c>
      <c r="AV289" s="1143">
        <v>0</v>
      </c>
      <c r="AW289" s="1143">
        <v>0</v>
      </c>
      <c r="AX289" s="1143">
        <v>0</v>
      </c>
      <c r="AY289" s="1143">
        <v>0</v>
      </c>
      <c r="AZ289" s="1143">
        <v>0</v>
      </c>
      <c r="BA289" s="1143">
        <v>0</v>
      </c>
      <c r="BB289" s="1143">
        <v>0</v>
      </c>
      <c r="BC289" s="1143">
        <v>0</v>
      </c>
      <c r="BD289" s="1143">
        <v>0</v>
      </c>
      <c r="BE289" s="1143">
        <v>0</v>
      </c>
      <c r="BF289" s="1143">
        <v>0</v>
      </c>
      <c r="BG289" s="1143">
        <v>0</v>
      </c>
      <c r="BH289" s="1143">
        <v>0</v>
      </c>
      <c r="BI289" s="1143">
        <v>0</v>
      </c>
      <c r="BJ289" s="1143">
        <v>0</v>
      </c>
      <c r="BK289" s="1143">
        <v>0</v>
      </c>
      <c r="BL289" s="1143">
        <v>0</v>
      </c>
      <c r="BM289" s="1143">
        <v>0</v>
      </c>
      <c r="BN289" s="1143">
        <v>0</v>
      </c>
      <c r="BO289" s="1143">
        <v>0</v>
      </c>
      <c r="BP289" s="1143">
        <v>0</v>
      </c>
      <c r="BQ289" s="1143">
        <v>0</v>
      </c>
      <c r="BR289" s="1143">
        <v>0</v>
      </c>
      <c r="BS289" s="1143">
        <v>0</v>
      </c>
      <c r="BT289" s="1143">
        <v>0</v>
      </c>
      <c r="BU289" s="1143">
        <v>0</v>
      </c>
      <c r="BV289" s="1143">
        <v>0</v>
      </c>
      <c r="BW289" s="1143">
        <v>0</v>
      </c>
      <c r="BX289" s="1143">
        <v>0</v>
      </c>
      <c r="BY289" s="1143">
        <v>0</v>
      </c>
      <c r="BZ289" s="1143">
        <v>0</v>
      </c>
      <c r="CA289" s="1143">
        <v>0</v>
      </c>
      <c r="CB289" s="1143">
        <v>0</v>
      </c>
    </row>
    <row r="290" spans="1:80" x14ac:dyDescent="0.3">
      <c r="A290" s="1145" t="s">
        <v>793</v>
      </c>
      <c r="B290" s="1146"/>
      <c r="C290" s="1146" t="s">
        <v>796</v>
      </c>
      <c r="D290" s="1146"/>
      <c r="E290" s="129">
        <f t="shared" ref="E290:BP290" si="0">E156+E186-E3-E4-E5+E289</f>
        <v>165631</v>
      </c>
      <c r="F290" s="129">
        <f t="shared" si="0"/>
        <v>18941116</v>
      </c>
      <c r="G290" s="129">
        <f t="shared" si="0"/>
        <v>0</v>
      </c>
      <c r="H290" s="129">
        <f t="shared" si="0"/>
        <v>28995396</v>
      </c>
      <c r="I290" s="129">
        <f t="shared" si="0"/>
        <v>4259969</v>
      </c>
      <c r="J290" s="129">
        <f t="shared" si="0"/>
        <v>498184</v>
      </c>
      <c r="K290" s="129">
        <f t="shared" si="0"/>
        <v>2604511</v>
      </c>
      <c r="L290" s="129">
        <f t="shared" si="0"/>
        <v>814534</v>
      </c>
      <c r="M290" s="129">
        <f t="shared" si="0"/>
        <v>18516132</v>
      </c>
      <c r="N290" s="129">
        <f t="shared" si="0"/>
        <v>222616</v>
      </c>
      <c r="O290" s="129">
        <f t="shared" si="0"/>
        <v>576531</v>
      </c>
      <c r="P290" s="129">
        <f t="shared" si="0"/>
        <v>571050</v>
      </c>
      <c r="Q290" s="129">
        <f t="shared" si="0"/>
        <v>13525693</v>
      </c>
      <c r="R290" s="129">
        <f t="shared" si="0"/>
        <v>16922291</v>
      </c>
      <c r="S290" s="129">
        <f t="shared" si="0"/>
        <v>2622026</v>
      </c>
      <c r="T290" s="129">
        <f t="shared" si="0"/>
        <v>7782410</v>
      </c>
      <c r="U290" s="129">
        <f t="shared" si="0"/>
        <v>0</v>
      </c>
      <c r="V290" s="129">
        <f t="shared" si="0"/>
        <v>5004721</v>
      </c>
      <c r="W290" s="129">
        <f t="shared" si="0"/>
        <v>269732</v>
      </c>
      <c r="X290" s="129">
        <f t="shared" si="0"/>
        <v>10745984</v>
      </c>
      <c r="Y290" s="129">
        <f t="shared" si="0"/>
        <v>5799076</v>
      </c>
      <c r="Z290" s="129">
        <f t="shared" si="0"/>
        <v>4098012</v>
      </c>
      <c r="AA290" s="129">
        <f t="shared" si="0"/>
        <v>1780105</v>
      </c>
      <c r="AB290" s="129">
        <f t="shared" si="0"/>
        <v>2470189</v>
      </c>
      <c r="AC290" s="129">
        <f t="shared" si="0"/>
        <v>1167026</v>
      </c>
      <c r="AD290" s="129">
        <f t="shared" si="0"/>
        <v>259852</v>
      </c>
      <c r="AE290" s="129">
        <f t="shared" si="0"/>
        <v>1272415</v>
      </c>
      <c r="AF290" s="129">
        <f t="shared" si="0"/>
        <v>1092205</v>
      </c>
      <c r="AG290" s="129">
        <f t="shared" si="0"/>
        <v>142289</v>
      </c>
      <c r="AH290" s="129">
        <f t="shared" si="0"/>
        <v>79797</v>
      </c>
      <c r="AI290" s="129">
        <f t="shared" si="0"/>
        <v>298317</v>
      </c>
      <c r="AJ290" s="129">
        <f t="shared" si="0"/>
        <v>1524214</v>
      </c>
      <c r="AK290" s="129">
        <f t="shared" si="0"/>
        <v>2384564</v>
      </c>
      <c r="AL290" s="129">
        <f t="shared" si="0"/>
        <v>244696</v>
      </c>
      <c r="AM290" s="129">
        <f t="shared" si="0"/>
        <v>110588</v>
      </c>
      <c r="AN290" s="129">
        <f t="shared" si="0"/>
        <v>8448617</v>
      </c>
      <c r="AO290" s="129">
        <f t="shared" si="0"/>
        <v>9961998</v>
      </c>
      <c r="AP290" s="129">
        <f t="shared" si="0"/>
        <v>570026</v>
      </c>
      <c r="AQ290" s="129">
        <f t="shared" si="0"/>
        <v>6738961</v>
      </c>
      <c r="AR290" s="129">
        <f t="shared" si="0"/>
        <v>7637214</v>
      </c>
      <c r="AS290" s="129">
        <f t="shared" si="0"/>
        <v>2583475</v>
      </c>
      <c r="AT290" s="129">
        <f t="shared" si="0"/>
        <v>381440</v>
      </c>
      <c r="AU290" s="129">
        <f t="shared" si="0"/>
        <v>2314503</v>
      </c>
      <c r="AV290" s="129">
        <f t="shared" si="0"/>
        <v>4132754</v>
      </c>
      <c r="AW290" s="129">
        <f t="shared" si="0"/>
        <v>109847</v>
      </c>
      <c r="AX290" s="129">
        <f t="shared" si="0"/>
        <v>337876</v>
      </c>
      <c r="AY290" s="129">
        <f t="shared" si="0"/>
        <v>2735410</v>
      </c>
      <c r="AZ290" s="129">
        <f t="shared" si="0"/>
        <v>2369247</v>
      </c>
      <c r="BA290" s="129">
        <f t="shared" si="0"/>
        <v>1204944</v>
      </c>
      <c r="BB290" s="129">
        <f t="shared" si="0"/>
        <v>84979</v>
      </c>
      <c r="BC290" s="129">
        <f t="shared" si="0"/>
        <v>0</v>
      </c>
      <c r="BD290" s="129">
        <f t="shared" si="0"/>
        <v>0</v>
      </c>
      <c r="BE290" s="129">
        <f t="shared" si="0"/>
        <v>372139</v>
      </c>
      <c r="BF290" s="129">
        <f t="shared" si="0"/>
        <v>0</v>
      </c>
      <c r="BG290" s="129">
        <f t="shared" si="0"/>
        <v>475733</v>
      </c>
      <c r="BH290" s="129">
        <f t="shared" si="0"/>
        <v>153205</v>
      </c>
      <c r="BI290" s="129">
        <f t="shared" si="0"/>
        <v>2491955</v>
      </c>
      <c r="BJ290" s="129">
        <f t="shared" si="0"/>
        <v>3046057</v>
      </c>
      <c r="BK290" s="129">
        <f t="shared" si="0"/>
        <v>0</v>
      </c>
      <c r="BL290" s="129">
        <f t="shared" si="0"/>
        <v>2318006</v>
      </c>
      <c r="BM290" s="129">
        <f t="shared" si="0"/>
        <v>5425708</v>
      </c>
      <c r="BN290" s="129">
        <f t="shared" si="0"/>
        <v>125766</v>
      </c>
      <c r="BO290" s="129">
        <f t="shared" si="0"/>
        <v>2612427</v>
      </c>
      <c r="BP290" s="129">
        <f t="shared" si="0"/>
        <v>3017767</v>
      </c>
      <c r="BQ290" s="129">
        <f t="shared" ref="BQ290:CB290" si="1">BQ156+BQ186-BQ3-BQ4-BQ5+BQ289</f>
        <v>1589609</v>
      </c>
      <c r="BR290" s="129">
        <f t="shared" si="1"/>
        <v>1310274</v>
      </c>
      <c r="BS290" s="129">
        <f t="shared" si="1"/>
        <v>1565789</v>
      </c>
      <c r="BT290" s="129">
        <f t="shared" si="1"/>
        <v>10248120</v>
      </c>
      <c r="BU290" s="129">
        <f t="shared" si="1"/>
        <v>1816267</v>
      </c>
      <c r="BV290" s="129">
        <f t="shared" si="1"/>
        <v>1247222</v>
      </c>
      <c r="BW290" s="129">
        <f t="shared" si="1"/>
        <v>924195</v>
      </c>
      <c r="BX290" s="129">
        <f t="shared" si="1"/>
        <v>700657</v>
      </c>
      <c r="BY290" s="129">
        <f t="shared" si="1"/>
        <v>176434</v>
      </c>
      <c r="BZ290" s="129">
        <f t="shared" si="1"/>
        <v>204114</v>
      </c>
      <c r="CA290" s="129">
        <f t="shared" si="1"/>
        <v>10598856</v>
      </c>
      <c r="CB290" s="129">
        <f t="shared" si="1"/>
        <v>157953</v>
      </c>
    </row>
    <row r="291" spans="1:80" x14ac:dyDescent="0.3">
      <c r="A291" s="1145" t="s">
        <v>794</v>
      </c>
      <c r="B291" s="1146"/>
      <c r="C291" s="1146" t="s">
        <v>802</v>
      </c>
      <c r="D291" s="1146"/>
      <c r="E291" s="129">
        <f>E182+E159+E15-E183-E158</f>
        <v>2071041</v>
      </c>
      <c r="F291" s="129">
        <f t="shared" ref="F291:BQ291" si="2">F182+F159+F15-F183-F158</f>
        <v>14133653</v>
      </c>
      <c r="G291" s="129">
        <f t="shared" si="2"/>
        <v>0</v>
      </c>
      <c r="H291" s="129">
        <f t="shared" si="2"/>
        <v>44033586</v>
      </c>
      <c r="I291" s="129">
        <f t="shared" si="2"/>
        <v>4129835</v>
      </c>
      <c r="J291" s="129">
        <f t="shared" si="2"/>
        <v>249092</v>
      </c>
      <c r="K291" s="129">
        <f t="shared" si="2"/>
        <v>1323119</v>
      </c>
      <c r="L291" s="129">
        <f t="shared" si="2"/>
        <v>2466989</v>
      </c>
      <c r="M291" s="129">
        <f t="shared" si="2"/>
        <v>44866828</v>
      </c>
      <c r="N291" s="129">
        <f t="shared" si="2"/>
        <v>88033</v>
      </c>
      <c r="O291" s="129">
        <f t="shared" si="2"/>
        <v>865904</v>
      </c>
      <c r="P291" s="129">
        <f t="shared" si="2"/>
        <v>1506682</v>
      </c>
      <c r="Q291" s="129">
        <f t="shared" si="2"/>
        <v>30708935</v>
      </c>
      <c r="R291" s="129">
        <f t="shared" si="2"/>
        <v>17857957</v>
      </c>
      <c r="S291" s="129">
        <f t="shared" si="2"/>
        <v>6790553</v>
      </c>
      <c r="T291" s="129">
        <f t="shared" si="2"/>
        <v>15112900</v>
      </c>
      <c r="U291" s="129">
        <f t="shared" si="2"/>
        <v>0</v>
      </c>
      <c r="V291" s="129">
        <f t="shared" si="2"/>
        <v>23181059</v>
      </c>
      <c r="W291" s="129">
        <f t="shared" si="2"/>
        <v>25435</v>
      </c>
      <c r="X291" s="129">
        <f t="shared" si="2"/>
        <v>9132087</v>
      </c>
      <c r="Y291" s="129">
        <f t="shared" si="2"/>
        <v>15638645</v>
      </c>
      <c r="Z291" s="129">
        <f t="shared" si="2"/>
        <v>5940264</v>
      </c>
      <c r="AA291" s="129">
        <f t="shared" si="2"/>
        <v>1598320</v>
      </c>
      <c r="AB291" s="129">
        <f t="shared" si="2"/>
        <v>5376623</v>
      </c>
      <c r="AC291" s="129">
        <f t="shared" si="2"/>
        <v>1318645</v>
      </c>
      <c r="AD291" s="129">
        <f t="shared" si="2"/>
        <v>326323</v>
      </c>
      <c r="AE291" s="129">
        <f t="shared" si="2"/>
        <v>1374559</v>
      </c>
      <c r="AF291" s="129">
        <f t="shared" si="2"/>
        <v>3437670</v>
      </c>
      <c r="AG291" s="129">
        <f t="shared" si="2"/>
        <v>128079</v>
      </c>
      <c r="AH291" s="129">
        <f t="shared" si="2"/>
        <v>37979</v>
      </c>
      <c r="AI291" s="129">
        <f t="shared" si="2"/>
        <v>93921</v>
      </c>
      <c r="AJ291" s="129">
        <f t="shared" si="2"/>
        <v>2723970</v>
      </c>
      <c r="AK291" s="129">
        <f t="shared" si="2"/>
        <v>8051508</v>
      </c>
      <c r="AL291" s="129">
        <f t="shared" si="2"/>
        <v>364368</v>
      </c>
      <c r="AM291" s="129">
        <f t="shared" si="2"/>
        <v>23239</v>
      </c>
      <c r="AN291" s="129">
        <f t="shared" si="2"/>
        <v>21442896</v>
      </c>
      <c r="AO291" s="129">
        <f t="shared" si="2"/>
        <v>17374687</v>
      </c>
      <c r="AP291" s="129">
        <f t="shared" si="2"/>
        <v>436564</v>
      </c>
      <c r="AQ291" s="129">
        <f t="shared" si="2"/>
        <v>4545189</v>
      </c>
      <c r="AR291" s="129">
        <f t="shared" si="2"/>
        <v>22273401</v>
      </c>
      <c r="AS291" s="129">
        <f t="shared" si="2"/>
        <v>2604104</v>
      </c>
      <c r="AT291" s="129">
        <f t="shared" si="2"/>
        <v>626679</v>
      </c>
      <c r="AU291" s="129">
        <f t="shared" si="2"/>
        <v>6145088</v>
      </c>
      <c r="AV291" s="129">
        <f t="shared" si="2"/>
        <v>11174683</v>
      </c>
      <c r="AW291" s="129">
        <f t="shared" si="2"/>
        <v>304107</v>
      </c>
      <c r="AX291" s="129">
        <f t="shared" si="2"/>
        <v>565179</v>
      </c>
      <c r="AY291" s="129">
        <f t="shared" si="2"/>
        <v>2844742</v>
      </c>
      <c r="AZ291" s="129">
        <f t="shared" si="2"/>
        <v>3463779</v>
      </c>
      <c r="BA291" s="129">
        <f t="shared" si="2"/>
        <v>3925250</v>
      </c>
      <c r="BB291" s="129">
        <f t="shared" si="2"/>
        <v>111857</v>
      </c>
      <c r="BC291" s="129">
        <f t="shared" si="2"/>
        <v>0</v>
      </c>
      <c r="BD291" s="129">
        <f t="shared" si="2"/>
        <v>0</v>
      </c>
      <c r="BE291" s="129">
        <f t="shared" si="2"/>
        <v>75709</v>
      </c>
      <c r="BF291" s="129">
        <f t="shared" si="2"/>
        <v>0</v>
      </c>
      <c r="BG291" s="129">
        <f t="shared" si="2"/>
        <v>386743</v>
      </c>
      <c r="BH291" s="129">
        <f t="shared" si="2"/>
        <v>55165</v>
      </c>
      <c r="BI291" s="129">
        <f t="shared" si="2"/>
        <v>2986916</v>
      </c>
      <c r="BJ291" s="129">
        <f t="shared" si="2"/>
        <v>2463025</v>
      </c>
      <c r="BK291" s="129">
        <f t="shared" si="2"/>
        <v>0</v>
      </c>
      <c r="BL291" s="129">
        <f t="shared" si="2"/>
        <v>9401916</v>
      </c>
      <c r="BM291" s="129">
        <f t="shared" si="2"/>
        <v>4076431</v>
      </c>
      <c r="BN291" s="129">
        <f t="shared" si="2"/>
        <v>41493</v>
      </c>
      <c r="BO291" s="129">
        <f t="shared" si="2"/>
        <v>6819248</v>
      </c>
      <c r="BP291" s="129">
        <f t="shared" si="2"/>
        <v>1863224</v>
      </c>
      <c r="BQ291" s="129">
        <f t="shared" si="2"/>
        <v>915657</v>
      </c>
      <c r="BR291" s="129">
        <f>BR182+BR159+BR15-BR183-BR158</f>
        <v>1823332</v>
      </c>
      <c r="BS291" s="129">
        <f>BS182+BS159+BS15-BS183-BS158</f>
        <v>1270282</v>
      </c>
      <c r="BT291" s="129">
        <f t="shared" ref="BT291:CB291" si="3">BT182+BT159+BT15-BT183-BT158</f>
        <v>22763687</v>
      </c>
      <c r="BU291" s="129">
        <f t="shared" si="3"/>
        <v>1804813</v>
      </c>
      <c r="BV291" s="129">
        <f t="shared" si="3"/>
        <v>2740074</v>
      </c>
      <c r="BW291" s="129">
        <f t="shared" si="3"/>
        <v>1131937</v>
      </c>
      <c r="BX291" s="129">
        <f t="shared" si="3"/>
        <v>1059204</v>
      </c>
      <c r="BY291" s="129">
        <f t="shared" si="3"/>
        <v>27004</v>
      </c>
      <c r="BZ291" s="129">
        <f t="shared" si="3"/>
        <v>44264</v>
      </c>
      <c r="CA291" s="129">
        <f t="shared" si="3"/>
        <v>16935975</v>
      </c>
      <c r="CB291" s="129">
        <f t="shared" si="3"/>
        <v>65366</v>
      </c>
    </row>
    <row r="292" spans="1:80" x14ac:dyDescent="0.3">
      <c r="A292" s="1145" t="s">
        <v>795</v>
      </c>
      <c r="B292" s="1146"/>
      <c r="C292" s="1147" t="s">
        <v>801</v>
      </c>
      <c r="D292" s="1146"/>
      <c r="E292" s="1148">
        <f>E290/E291</f>
        <v>7.9974756656193677E-2</v>
      </c>
      <c r="F292" s="1148">
        <f t="shared" ref="F292:BQ292" si="4">F290/F291</f>
        <v>1.3401429906337732</v>
      </c>
      <c r="G292" s="1148" t="e">
        <f t="shared" si="4"/>
        <v>#DIV/0!</v>
      </c>
      <c r="H292" s="1148">
        <f t="shared" si="4"/>
        <v>0.65848364019228411</v>
      </c>
      <c r="I292" s="1148">
        <f t="shared" si="4"/>
        <v>1.0315107020014116</v>
      </c>
      <c r="J292" s="1148">
        <f t="shared" si="4"/>
        <v>2</v>
      </c>
      <c r="K292" s="1148">
        <f t="shared" si="4"/>
        <v>1.9684631541078317</v>
      </c>
      <c r="L292" s="1148">
        <f t="shared" si="4"/>
        <v>0.33017334086207922</v>
      </c>
      <c r="M292" s="1148">
        <f t="shared" si="4"/>
        <v>0.41269090830312322</v>
      </c>
      <c r="N292" s="1148">
        <f t="shared" si="4"/>
        <v>2.5287789806095442</v>
      </c>
      <c r="O292" s="1148">
        <f t="shared" si="4"/>
        <v>0.66581399323712565</v>
      </c>
      <c r="P292" s="1148">
        <f t="shared" si="4"/>
        <v>0.3790116295276641</v>
      </c>
      <c r="Q292" s="1148">
        <f t="shared" si="4"/>
        <v>0.44044813016146606</v>
      </c>
      <c r="R292" s="1148">
        <f t="shared" si="4"/>
        <v>0.9476050927886096</v>
      </c>
      <c r="S292" s="1148">
        <f t="shared" si="4"/>
        <v>0.38612849351150047</v>
      </c>
      <c r="T292" s="1148">
        <f t="shared" si="4"/>
        <v>0.514951465304475</v>
      </c>
      <c r="U292" s="1148" t="e">
        <f t="shared" si="4"/>
        <v>#DIV/0!</v>
      </c>
      <c r="V292" s="1148">
        <f t="shared" si="4"/>
        <v>0.21589699590514824</v>
      </c>
      <c r="W292" s="1148">
        <f t="shared" si="4"/>
        <v>10.604757224297229</v>
      </c>
      <c r="X292" s="1148">
        <f t="shared" si="4"/>
        <v>1.1767281673948136</v>
      </c>
      <c r="Y292" s="1148">
        <f t="shared" si="4"/>
        <v>0.3708170368980177</v>
      </c>
      <c r="Z292" s="1148">
        <f t="shared" si="4"/>
        <v>0.6898703491966014</v>
      </c>
      <c r="AA292" s="1148">
        <f t="shared" si="4"/>
        <v>1.1137350467991392</v>
      </c>
      <c r="AB292" s="1148">
        <f t="shared" si="4"/>
        <v>0.45943131962200062</v>
      </c>
      <c r="AC292" s="1148">
        <f t="shared" si="4"/>
        <v>0.88501909156748026</v>
      </c>
      <c r="AD292" s="1148">
        <f t="shared" si="4"/>
        <v>0.79630304943261743</v>
      </c>
      <c r="AE292" s="1148">
        <f t="shared" si="4"/>
        <v>0.92568962118032039</v>
      </c>
      <c r="AF292" s="1148">
        <f t="shared" si="4"/>
        <v>0.31771665110379999</v>
      </c>
      <c r="AG292" s="1148">
        <f t="shared" si="4"/>
        <v>1.1109471498059791</v>
      </c>
      <c r="AH292" s="1148">
        <f t="shared" si="4"/>
        <v>2.1010821769925485</v>
      </c>
      <c r="AI292" s="1148">
        <f t="shared" si="4"/>
        <v>3.1762545117705305</v>
      </c>
      <c r="AJ292" s="1148">
        <f t="shared" si="4"/>
        <v>0.55955608909055532</v>
      </c>
      <c r="AK292" s="1148">
        <f t="shared" si="4"/>
        <v>0.2961636503373033</v>
      </c>
      <c r="AL292" s="1148">
        <f t="shared" si="4"/>
        <v>0.67156281561498266</v>
      </c>
      <c r="AM292" s="1148">
        <f t="shared" si="4"/>
        <v>4.758724557855329</v>
      </c>
      <c r="AN292" s="1148">
        <f t="shared" si="4"/>
        <v>0.39400540859779387</v>
      </c>
      <c r="AO292" s="1148">
        <f t="shared" si="4"/>
        <v>0.57336273165669116</v>
      </c>
      <c r="AP292" s="1148">
        <f t="shared" si="4"/>
        <v>1.3057100448044272</v>
      </c>
      <c r="AQ292" s="1148">
        <f t="shared" si="4"/>
        <v>1.4826580368825146</v>
      </c>
      <c r="AR292" s="1148">
        <f t="shared" si="4"/>
        <v>0.34288495052910867</v>
      </c>
      <c r="AS292" s="1148">
        <f t="shared" si="4"/>
        <v>0.9920782733715704</v>
      </c>
      <c r="AT292" s="1148">
        <f t="shared" si="4"/>
        <v>0.60866887194241392</v>
      </c>
      <c r="AU292" s="1148">
        <f t="shared" si="4"/>
        <v>0.37664277549808889</v>
      </c>
      <c r="AV292" s="1148">
        <f t="shared" si="4"/>
        <v>0.36983187800495099</v>
      </c>
      <c r="AW292" s="1148">
        <f t="shared" si="4"/>
        <v>0.36121167878411214</v>
      </c>
      <c r="AX292" s="1148">
        <f t="shared" si="4"/>
        <v>0.59782122124141202</v>
      </c>
      <c r="AY292" s="1148">
        <f t="shared" si="4"/>
        <v>0.9615669892032388</v>
      </c>
      <c r="AZ292" s="1148">
        <f t="shared" si="4"/>
        <v>0.68400639879160885</v>
      </c>
      <c r="BA292" s="1148">
        <f t="shared" si="4"/>
        <v>0.30697254951913888</v>
      </c>
      <c r="BB292" s="1148">
        <f t="shared" si="4"/>
        <v>0.75971105965652574</v>
      </c>
      <c r="BC292" s="1148" t="e">
        <f t="shared" si="4"/>
        <v>#DIV/0!</v>
      </c>
      <c r="BD292" s="1148" t="e">
        <f t="shared" si="4"/>
        <v>#DIV/0!</v>
      </c>
      <c r="BE292" s="1148">
        <f t="shared" si="4"/>
        <v>4.9153865458532007</v>
      </c>
      <c r="BF292" s="1148" t="e">
        <f t="shared" si="4"/>
        <v>#DIV/0!</v>
      </c>
      <c r="BG292" s="1148">
        <f t="shared" si="4"/>
        <v>1.2301011265879409</v>
      </c>
      <c r="BH292" s="1148">
        <f t="shared" si="4"/>
        <v>2.7772138131061364</v>
      </c>
      <c r="BI292" s="1148">
        <f t="shared" si="4"/>
        <v>0.83429028469498301</v>
      </c>
      <c r="BJ292" s="1148">
        <f t="shared" si="4"/>
        <v>1.2367137970584952</v>
      </c>
      <c r="BK292" s="1148" t="e">
        <f t="shared" si="4"/>
        <v>#DIV/0!</v>
      </c>
      <c r="BL292" s="1148">
        <f t="shared" si="4"/>
        <v>0.2465461295335972</v>
      </c>
      <c r="BM292" s="1148">
        <f t="shared" si="4"/>
        <v>1.3309946862831727</v>
      </c>
      <c r="BN292" s="1148">
        <f t="shared" si="4"/>
        <v>3.0310172800231365</v>
      </c>
      <c r="BO292" s="1148">
        <f t="shared" si="4"/>
        <v>0.38309605399305025</v>
      </c>
      <c r="BP292" s="1148">
        <f t="shared" si="4"/>
        <v>1.619647986500818</v>
      </c>
      <c r="BQ292" s="1148">
        <f t="shared" si="4"/>
        <v>1.7360310684022511</v>
      </c>
      <c r="BR292" s="1148">
        <f>BR290/BR291</f>
        <v>0.71861515072405902</v>
      </c>
      <c r="BS292" s="1148">
        <f>BS290/BS291</f>
        <v>1.2326310220880088</v>
      </c>
      <c r="BT292" s="1148">
        <f t="shared" ref="BT292:CB292" si="5">BT290/BT291</f>
        <v>0.45019596342191842</v>
      </c>
      <c r="BU292" s="1148">
        <f t="shared" si="5"/>
        <v>1.0063463638615191</v>
      </c>
      <c r="BV292" s="1148">
        <f t="shared" si="5"/>
        <v>0.45517821781455536</v>
      </c>
      <c r="BW292" s="1148">
        <f t="shared" si="5"/>
        <v>0.81647211814791809</v>
      </c>
      <c r="BX292" s="1148">
        <f t="shared" si="5"/>
        <v>0.66149391429790672</v>
      </c>
      <c r="BY292" s="1148">
        <f t="shared" si="5"/>
        <v>6.5336246482002664</v>
      </c>
      <c r="BZ292" s="1148">
        <f t="shared" si="5"/>
        <v>4.6112868245075003</v>
      </c>
      <c r="CA292" s="1148">
        <f t="shared" si="5"/>
        <v>0.62581906267575382</v>
      </c>
      <c r="CB292" s="1148">
        <f t="shared" si="5"/>
        <v>2.4164397393140167</v>
      </c>
    </row>
    <row r="293" spans="1:80" x14ac:dyDescent="0.3">
      <c r="A293" s="1145" t="s">
        <v>797</v>
      </c>
      <c r="B293" s="1146"/>
      <c r="C293" s="1149" t="s">
        <v>803</v>
      </c>
      <c r="D293" s="1146"/>
      <c r="E293" s="1150">
        <f>E97+E51</f>
        <v>0</v>
      </c>
      <c r="F293" s="1150">
        <f t="shared" ref="F293:BQ293" si="6">F97+F51</f>
        <v>0</v>
      </c>
      <c r="G293" s="1150">
        <f t="shared" si="6"/>
        <v>0</v>
      </c>
      <c r="H293" s="1150">
        <f t="shared" si="6"/>
        <v>7485572</v>
      </c>
      <c r="I293" s="1150">
        <f t="shared" si="6"/>
        <v>203991</v>
      </c>
      <c r="J293" s="1150">
        <f t="shared" si="6"/>
        <v>0</v>
      </c>
      <c r="K293" s="1150">
        <f t="shared" si="6"/>
        <v>0</v>
      </c>
      <c r="L293" s="1150">
        <f t="shared" si="6"/>
        <v>118348</v>
      </c>
      <c r="M293" s="1150">
        <f t="shared" si="6"/>
        <v>4661412</v>
      </c>
      <c r="N293" s="1150">
        <f t="shared" si="6"/>
        <v>0</v>
      </c>
      <c r="O293" s="1150">
        <f t="shared" si="6"/>
        <v>20548</v>
      </c>
      <c r="P293" s="1150">
        <f t="shared" si="6"/>
        <v>74866</v>
      </c>
      <c r="Q293" s="1150">
        <f t="shared" si="6"/>
        <v>0</v>
      </c>
      <c r="R293" s="1150">
        <f t="shared" si="6"/>
        <v>2813</v>
      </c>
      <c r="S293" s="1150">
        <f t="shared" si="6"/>
        <v>860653</v>
      </c>
      <c r="T293" s="1150">
        <f t="shared" si="6"/>
        <v>1876010</v>
      </c>
      <c r="U293" s="1150">
        <f t="shared" si="6"/>
        <v>0</v>
      </c>
      <c r="V293" s="1150">
        <f t="shared" si="6"/>
        <v>1941856</v>
      </c>
      <c r="W293" s="1150">
        <f t="shared" si="6"/>
        <v>0</v>
      </c>
      <c r="X293" s="1150">
        <f t="shared" si="6"/>
        <v>0</v>
      </c>
      <c r="Y293" s="1150">
        <f t="shared" si="6"/>
        <v>151789</v>
      </c>
      <c r="Z293" s="1150">
        <f t="shared" si="6"/>
        <v>258815</v>
      </c>
      <c r="AA293" s="1150">
        <f t="shared" si="6"/>
        <v>20635</v>
      </c>
      <c r="AB293" s="1150">
        <f t="shared" si="6"/>
        <v>130262</v>
      </c>
      <c r="AC293" s="1150">
        <f t="shared" si="6"/>
        <v>0</v>
      </c>
      <c r="AD293" s="1150">
        <f t="shared" si="6"/>
        <v>12558</v>
      </c>
      <c r="AE293" s="1150">
        <f t="shared" si="6"/>
        <v>109941</v>
      </c>
      <c r="AF293" s="1150">
        <f t="shared" si="6"/>
        <v>422479</v>
      </c>
      <c r="AG293" s="1150">
        <f t="shared" si="6"/>
        <v>0</v>
      </c>
      <c r="AH293" s="1150">
        <f t="shared" si="6"/>
        <v>0</v>
      </c>
      <c r="AI293" s="1150">
        <f t="shared" si="6"/>
        <v>0</v>
      </c>
      <c r="AJ293" s="1150">
        <f t="shared" si="6"/>
        <v>0</v>
      </c>
      <c r="AK293" s="1150">
        <f t="shared" si="6"/>
        <v>1007208</v>
      </c>
      <c r="AL293" s="1150">
        <f t="shared" si="6"/>
        <v>0</v>
      </c>
      <c r="AM293" s="1150">
        <f t="shared" si="6"/>
        <v>0</v>
      </c>
      <c r="AN293" s="1150">
        <f t="shared" si="6"/>
        <v>1235325</v>
      </c>
      <c r="AO293" s="1150">
        <f t="shared" si="6"/>
        <v>1294959</v>
      </c>
      <c r="AP293" s="1150">
        <f t="shared" si="6"/>
        <v>0</v>
      </c>
      <c r="AQ293" s="1150">
        <f t="shared" si="6"/>
        <v>0</v>
      </c>
      <c r="AR293" s="1150">
        <f t="shared" si="6"/>
        <v>296541</v>
      </c>
      <c r="AS293" s="1150">
        <f t="shared" si="6"/>
        <v>6064</v>
      </c>
      <c r="AT293" s="1150">
        <f t="shared" si="6"/>
        <v>10875</v>
      </c>
      <c r="AU293" s="1150">
        <f t="shared" si="6"/>
        <v>0</v>
      </c>
      <c r="AV293" s="1150">
        <f t="shared" si="6"/>
        <v>2468795</v>
      </c>
      <c r="AW293" s="1150">
        <f t="shared" si="6"/>
        <v>21597</v>
      </c>
      <c r="AX293" s="1150">
        <f t="shared" si="6"/>
        <v>34189</v>
      </c>
      <c r="AY293" s="1150">
        <f t="shared" si="6"/>
        <v>911702</v>
      </c>
      <c r="AZ293" s="1150">
        <f t="shared" si="6"/>
        <v>62537</v>
      </c>
      <c r="BA293" s="1150">
        <f t="shared" si="6"/>
        <v>255451</v>
      </c>
      <c r="BB293" s="1150">
        <f t="shared" si="6"/>
        <v>0</v>
      </c>
      <c r="BC293" s="1150">
        <f t="shared" si="6"/>
        <v>0</v>
      </c>
      <c r="BD293" s="1150">
        <f t="shared" si="6"/>
        <v>0</v>
      </c>
      <c r="BE293" s="1150">
        <f t="shared" si="6"/>
        <v>0</v>
      </c>
      <c r="BF293" s="1150">
        <f t="shared" si="6"/>
        <v>0</v>
      </c>
      <c r="BG293" s="1150">
        <f t="shared" si="6"/>
        <v>0</v>
      </c>
      <c r="BH293" s="1150">
        <f t="shared" si="6"/>
        <v>0</v>
      </c>
      <c r="BI293" s="1150">
        <f t="shared" si="6"/>
        <v>322234</v>
      </c>
      <c r="BJ293" s="1150">
        <f t="shared" si="6"/>
        <v>197182</v>
      </c>
      <c r="BK293" s="1150">
        <f t="shared" si="6"/>
        <v>0</v>
      </c>
      <c r="BL293" s="1150">
        <f t="shared" si="6"/>
        <v>79013</v>
      </c>
      <c r="BM293" s="1150">
        <f t="shared" si="6"/>
        <v>78568</v>
      </c>
      <c r="BN293" s="1150">
        <f t="shared" si="6"/>
        <v>0</v>
      </c>
      <c r="BO293" s="1150">
        <f t="shared" si="6"/>
        <v>299368</v>
      </c>
      <c r="BP293" s="1150">
        <f t="shared" si="6"/>
        <v>112375</v>
      </c>
      <c r="BQ293" s="1150">
        <f t="shared" si="6"/>
        <v>68378</v>
      </c>
      <c r="BR293" s="1150">
        <f>BR97+BR51</f>
        <v>42173</v>
      </c>
      <c r="BS293" s="1150">
        <f>BS97+BS51</f>
        <v>0</v>
      </c>
      <c r="BT293" s="1150">
        <f t="shared" ref="BT293:CB293" si="7">BT97+BT51</f>
        <v>0</v>
      </c>
      <c r="BU293" s="1150">
        <f t="shared" si="7"/>
        <v>43756</v>
      </c>
      <c r="BV293" s="1150">
        <f t="shared" si="7"/>
        <v>367510</v>
      </c>
      <c r="BW293" s="1150">
        <f t="shared" si="7"/>
        <v>12589</v>
      </c>
      <c r="BX293" s="1150">
        <f t="shared" si="7"/>
        <v>0</v>
      </c>
      <c r="BY293" s="1150">
        <f t="shared" si="7"/>
        <v>0</v>
      </c>
      <c r="BZ293" s="1150">
        <f t="shared" si="7"/>
        <v>0</v>
      </c>
      <c r="CA293" s="1150">
        <f t="shared" si="7"/>
        <v>857075</v>
      </c>
      <c r="CB293" s="1150">
        <f t="shared" si="7"/>
        <v>0</v>
      </c>
    </row>
    <row r="294" spans="1:80" x14ac:dyDescent="0.3">
      <c r="A294" s="1145" t="s">
        <v>934</v>
      </c>
      <c r="B294" s="1146"/>
      <c r="C294" s="1146" t="s">
        <v>798</v>
      </c>
      <c r="D294" s="1146"/>
      <c r="E294" s="1150">
        <f>E60+E58</f>
        <v>0</v>
      </c>
      <c r="F294" s="1150">
        <f t="shared" ref="F294:BQ294" si="8">F60+F58</f>
        <v>0</v>
      </c>
      <c r="G294" s="1150">
        <f t="shared" si="8"/>
        <v>0</v>
      </c>
      <c r="H294" s="1150">
        <f t="shared" si="8"/>
        <v>0</v>
      </c>
      <c r="I294" s="1150">
        <f t="shared" si="8"/>
        <v>0</v>
      </c>
      <c r="J294" s="1150">
        <f t="shared" si="8"/>
        <v>0</v>
      </c>
      <c r="K294" s="1150">
        <f t="shared" si="8"/>
        <v>0</v>
      </c>
      <c r="L294" s="1150">
        <f t="shared" si="8"/>
        <v>0</v>
      </c>
      <c r="M294" s="1150">
        <f t="shared" si="8"/>
        <v>0</v>
      </c>
      <c r="N294" s="1150">
        <f t="shared" si="8"/>
        <v>0</v>
      </c>
      <c r="O294" s="1150">
        <f t="shared" si="8"/>
        <v>0</v>
      </c>
      <c r="P294" s="1150">
        <f t="shared" si="8"/>
        <v>0</v>
      </c>
      <c r="Q294" s="1150">
        <f t="shared" si="8"/>
        <v>0</v>
      </c>
      <c r="R294" s="1150">
        <f t="shared" si="8"/>
        <v>0</v>
      </c>
      <c r="S294" s="1150">
        <f t="shared" si="8"/>
        <v>0</v>
      </c>
      <c r="T294" s="1150">
        <f t="shared" si="8"/>
        <v>210070</v>
      </c>
      <c r="U294" s="1150">
        <f t="shared" si="8"/>
        <v>0</v>
      </c>
      <c r="V294" s="1150">
        <f t="shared" si="8"/>
        <v>812457</v>
      </c>
      <c r="W294" s="1150">
        <f t="shared" si="8"/>
        <v>0</v>
      </c>
      <c r="X294" s="1150">
        <f t="shared" si="8"/>
        <v>0</v>
      </c>
      <c r="Y294" s="1150">
        <f t="shared" si="8"/>
        <v>0</v>
      </c>
      <c r="Z294" s="1150">
        <f t="shared" si="8"/>
        <v>0</v>
      </c>
      <c r="AA294" s="1150">
        <f t="shared" si="8"/>
        <v>85739</v>
      </c>
      <c r="AB294" s="1150">
        <f t="shared" si="8"/>
        <v>0</v>
      </c>
      <c r="AC294" s="1150">
        <f t="shared" si="8"/>
        <v>0</v>
      </c>
      <c r="AD294" s="1150">
        <f t="shared" si="8"/>
        <v>0</v>
      </c>
      <c r="AE294" s="1150">
        <f t="shared" si="8"/>
        <v>0</v>
      </c>
      <c r="AF294" s="1150">
        <f t="shared" si="8"/>
        <v>82908</v>
      </c>
      <c r="AG294" s="1150">
        <f t="shared" si="8"/>
        <v>0</v>
      </c>
      <c r="AH294" s="1150">
        <f t="shared" si="8"/>
        <v>0</v>
      </c>
      <c r="AI294" s="1150">
        <f t="shared" si="8"/>
        <v>0</v>
      </c>
      <c r="AJ294" s="1150">
        <f t="shared" si="8"/>
        <v>0</v>
      </c>
      <c r="AK294" s="1150">
        <f t="shared" si="8"/>
        <v>205496</v>
      </c>
      <c r="AL294" s="1150">
        <f t="shared" si="8"/>
        <v>0</v>
      </c>
      <c r="AM294" s="1150">
        <f t="shared" si="8"/>
        <v>0</v>
      </c>
      <c r="AN294" s="1150">
        <f t="shared" si="8"/>
        <v>0</v>
      </c>
      <c r="AO294" s="1150">
        <f t="shared" si="8"/>
        <v>0</v>
      </c>
      <c r="AP294" s="1150">
        <f t="shared" si="8"/>
        <v>0</v>
      </c>
      <c r="AQ294" s="1150">
        <f t="shared" si="8"/>
        <v>0</v>
      </c>
      <c r="AR294" s="1150">
        <f t="shared" si="8"/>
        <v>915131</v>
      </c>
      <c r="AS294" s="1150">
        <f t="shared" si="8"/>
        <v>0</v>
      </c>
      <c r="AT294" s="1150">
        <f t="shared" si="8"/>
        <v>0</v>
      </c>
      <c r="AU294" s="1150">
        <f t="shared" si="8"/>
        <v>0</v>
      </c>
      <c r="AV294" s="1150">
        <f t="shared" si="8"/>
        <v>0</v>
      </c>
      <c r="AW294" s="1150">
        <f t="shared" si="8"/>
        <v>0</v>
      </c>
      <c r="AX294" s="1150">
        <f t="shared" si="8"/>
        <v>0</v>
      </c>
      <c r="AY294" s="1150">
        <f t="shared" si="8"/>
        <v>0</v>
      </c>
      <c r="AZ294" s="1150">
        <f t="shared" si="8"/>
        <v>0</v>
      </c>
      <c r="BA294" s="1150">
        <f t="shared" si="8"/>
        <v>120986</v>
      </c>
      <c r="BB294" s="1150">
        <f t="shared" si="8"/>
        <v>0</v>
      </c>
      <c r="BC294" s="1150">
        <f t="shared" si="8"/>
        <v>0</v>
      </c>
      <c r="BD294" s="1150">
        <f t="shared" si="8"/>
        <v>0</v>
      </c>
      <c r="BE294" s="1150">
        <f t="shared" si="8"/>
        <v>0</v>
      </c>
      <c r="BF294" s="1150">
        <f t="shared" si="8"/>
        <v>0</v>
      </c>
      <c r="BG294" s="1150">
        <f t="shared" si="8"/>
        <v>0</v>
      </c>
      <c r="BH294" s="1150">
        <f t="shared" si="8"/>
        <v>0</v>
      </c>
      <c r="BI294" s="1150">
        <f t="shared" si="8"/>
        <v>0</v>
      </c>
      <c r="BJ294" s="1150">
        <f t="shared" si="8"/>
        <v>0</v>
      </c>
      <c r="BK294" s="1150">
        <f t="shared" si="8"/>
        <v>0</v>
      </c>
      <c r="BL294" s="1150">
        <f t="shared" si="8"/>
        <v>0</v>
      </c>
      <c r="BM294" s="1150">
        <f t="shared" si="8"/>
        <v>0</v>
      </c>
      <c r="BN294" s="1150">
        <f t="shared" si="8"/>
        <v>0</v>
      </c>
      <c r="BO294" s="1150">
        <f t="shared" si="8"/>
        <v>0</v>
      </c>
      <c r="BP294" s="1150">
        <f t="shared" si="8"/>
        <v>0</v>
      </c>
      <c r="BQ294" s="1150">
        <f t="shared" si="8"/>
        <v>0</v>
      </c>
      <c r="BR294" s="1150">
        <f>BR60+BR58</f>
        <v>0</v>
      </c>
      <c r="BS294" s="1150">
        <f>BS60+BS58</f>
        <v>0</v>
      </c>
      <c r="BT294" s="1150">
        <f t="shared" ref="BT294:CB294" si="9">BT60+BT58</f>
        <v>0</v>
      </c>
      <c r="BU294" s="1150">
        <f t="shared" si="9"/>
        <v>0</v>
      </c>
      <c r="BV294" s="1150">
        <f t="shared" si="9"/>
        <v>0</v>
      </c>
      <c r="BW294" s="1150">
        <f t="shared" si="9"/>
        <v>0</v>
      </c>
      <c r="BX294" s="1150">
        <f t="shared" si="9"/>
        <v>0</v>
      </c>
      <c r="BY294" s="1150">
        <f t="shared" si="9"/>
        <v>0</v>
      </c>
      <c r="BZ294" s="1150">
        <f t="shared" si="9"/>
        <v>0</v>
      </c>
      <c r="CA294" s="1150">
        <f t="shared" si="9"/>
        <v>0</v>
      </c>
      <c r="CB294" s="1150">
        <f t="shared" si="9"/>
        <v>0</v>
      </c>
    </row>
    <row r="295" spans="1:80" x14ac:dyDescent="0.3">
      <c r="A295" s="1145" t="s">
        <v>800</v>
      </c>
      <c r="C295" s="1146" t="s">
        <v>799</v>
      </c>
      <c r="E295" s="1138">
        <f>E31-E160</f>
        <v>0</v>
      </c>
      <c r="F295" s="1138">
        <f t="shared" ref="F295:BQ295" si="10">F31-F160</f>
        <v>0</v>
      </c>
      <c r="G295" s="1138">
        <f t="shared" si="10"/>
        <v>0</v>
      </c>
      <c r="H295" s="1138">
        <f t="shared" si="10"/>
        <v>36145907</v>
      </c>
      <c r="I295" s="1138">
        <f t="shared" si="10"/>
        <v>8283776</v>
      </c>
      <c r="J295" s="1138">
        <f t="shared" si="10"/>
        <v>243633</v>
      </c>
      <c r="K295" s="1138">
        <f t="shared" si="10"/>
        <v>5516454</v>
      </c>
      <c r="L295" s="1138">
        <f t="shared" si="10"/>
        <v>889069</v>
      </c>
      <c r="M295" s="1138">
        <f t="shared" si="10"/>
        <v>10574089</v>
      </c>
      <c r="N295" s="1138">
        <f t="shared" si="10"/>
        <v>0</v>
      </c>
      <c r="O295" s="1138">
        <f t="shared" si="10"/>
        <v>1638473</v>
      </c>
      <c r="P295" s="1138">
        <f t="shared" si="10"/>
        <v>1008499</v>
      </c>
      <c r="Q295" s="1138">
        <f t="shared" si="10"/>
        <v>0</v>
      </c>
      <c r="R295" s="1138">
        <f t="shared" si="10"/>
        <v>8844969</v>
      </c>
      <c r="S295" s="1138">
        <f t="shared" si="10"/>
        <v>7616827</v>
      </c>
      <c r="T295" s="1138">
        <f t="shared" si="10"/>
        <v>7287172</v>
      </c>
      <c r="U295" s="1138">
        <f t="shared" si="10"/>
        <v>0</v>
      </c>
      <c r="V295" s="1138">
        <f t="shared" si="10"/>
        <v>7690758</v>
      </c>
      <c r="W295" s="1138">
        <f t="shared" si="10"/>
        <v>0</v>
      </c>
      <c r="X295" s="1138">
        <f t="shared" si="10"/>
        <v>0</v>
      </c>
      <c r="Y295" s="1138">
        <f t="shared" si="10"/>
        <v>225204</v>
      </c>
      <c r="Z295" s="1138">
        <f t="shared" si="10"/>
        <v>2572924</v>
      </c>
      <c r="AA295" s="1138">
        <f t="shared" si="10"/>
        <v>1020932</v>
      </c>
      <c r="AB295" s="1138">
        <f t="shared" si="10"/>
        <v>474569</v>
      </c>
      <c r="AC295" s="1138">
        <f t="shared" si="10"/>
        <v>0</v>
      </c>
      <c r="AD295" s="1138">
        <f t="shared" si="10"/>
        <v>89870</v>
      </c>
      <c r="AE295" s="1138">
        <f t="shared" si="10"/>
        <v>1669286</v>
      </c>
      <c r="AF295" s="1138">
        <f t="shared" si="10"/>
        <v>1205943</v>
      </c>
      <c r="AG295" s="1138">
        <f t="shared" si="10"/>
        <v>67368</v>
      </c>
      <c r="AH295" s="1138">
        <f t="shared" si="10"/>
        <v>0</v>
      </c>
      <c r="AI295" s="1138">
        <f t="shared" si="10"/>
        <v>0</v>
      </c>
      <c r="AJ295" s="1138">
        <f t="shared" si="10"/>
        <v>868276</v>
      </c>
      <c r="AK295" s="1138">
        <f t="shared" si="10"/>
        <v>7312039</v>
      </c>
      <c r="AL295" s="1138">
        <f t="shared" si="10"/>
        <v>396468</v>
      </c>
      <c r="AM295" s="1138">
        <f t="shared" si="10"/>
        <v>0</v>
      </c>
      <c r="AN295" s="1138">
        <f t="shared" si="10"/>
        <v>15602691</v>
      </c>
      <c r="AO295" s="1138">
        <f t="shared" si="10"/>
        <v>9418653</v>
      </c>
      <c r="AP295" s="1138">
        <f t="shared" si="10"/>
        <v>91513</v>
      </c>
      <c r="AQ295" s="1138">
        <f t="shared" si="10"/>
        <v>0</v>
      </c>
      <c r="AR295" s="1138">
        <f t="shared" si="10"/>
        <v>6589699</v>
      </c>
      <c r="AS295" s="1138">
        <f t="shared" si="10"/>
        <v>1434513</v>
      </c>
      <c r="AT295" s="1138">
        <f t="shared" si="10"/>
        <v>257387</v>
      </c>
      <c r="AU295" s="1138">
        <f t="shared" si="10"/>
        <v>1366984</v>
      </c>
      <c r="AV295" s="1138">
        <f t="shared" si="10"/>
        <v>10953649</v>
      </c>
      <c r="AW295" s="1138">
        <f t="shared" si="10"/>
        <v>1084763</v>
      </c>
      <c r="AX295" s="1138">
        <f t="shared" si="10"/>
        <v>245930</v>
      </c>
      <c r="AY295" s="1138">
        <f t="shared" si="10"/>
        <v>1562977</v>
      </c>
      <c r="AZ295" s="1138">
        <f t="shared" si="10"/>
        <v>805991</v>
      </c>
      <c r="BA295" s="1138">
        <f t="shared" si="10"/>
        <v>2193280</v>
      </c>
      <c r="BB295" s="1138">
        <f t="shared" si="10"/>
        <v>0</v>
      </c>
      <c r="BC295" s="1138">
        <f t="shared" si="10"/>
        <v>0</v>
      </c>
      <c r="BD295" s="1138">
        <f t="shared" si="10"/>
        <v>0</v>
      </c>
      <c r="BE295" s="1138">
        <f t="shared" si="10"/>
        <v>0</v>
      </c>
      <c r="BF295" s="1138">
        <f t="shared" si="10"/>
        <v>0</v>
      </c>
      <c r="BG295" s="1138">
        <f t="shared" si="10"/>
        <v>28973</v>
      </c>
      <c r="BH295" s="1138">
        <f t="shared" si="10"/>
        <v>0</v>
      </c>
      <c r="BI295" s="1138">
        <f t="shared" si="10"/>
        <v>898503</v>
      </c>
      <c r="BJ295" s="1138">
        <f t="shared" si="10"/>
        <v>1941073</v>
      </c>
      <c r="BK295" s="1138">
        <f t="shared" si="10"/>
        <v>0</v>
      </c>
      <c r="BL295" s="1138">
        <f t="shared" si="10"/>
        <v>5018136</v>
      </c>
      <c r="BM295" s="1138">
        <f t="shared" si="10"/>
        <v>2576961</v>
      </c>
      <c r="BN295" s="1138">
        <f t="shared" si="10"/>
        <v>0</v>
      </c>
      <c r="BO295" s="1138">
        <f t="shared" si="10"/>
        <v>2281123</v>
      </c>
      <c r="BP295" s="1138">
        <f t="shared" si="10"/>
        <v>3818828</v>
      </c>
      <c r="BQ295" s="1138">
        <f t="shared" si="10"/>
        <v>886896</v>
      </c>
      <c r="BR295" s="1138">
        <f>BR31-BR160</f>
        <v>3389447</v>
      </c>
      <c r="BS295" s="1138">
        <f>BS31-BS160</f>
        <v>0</v>
      </c>
      <c r="BT295" s="1138">
        <f t="shared" ref="BT295:CB295" si="11">BT31-BT160</f>
        <v>0</v>
      </c>
      <c r="BU295" s="1138">
        <f t="shared" si="11"/>
        <v>1260554</v>
      </c>
      <c r="BV295" s="1138">
        <f t="shared" si="11"/>
        <v>2272943</v>
      </c>
      <c r="BW295" s="1138">
        <f t="shared" si="11"/>
        <v>179380</v>
      </c>
      <c r="BX295" s="1138">
        <f t="shared" si="11"/>
        <v>1587567</v>
      </c>
      <c r="BY295" s="1138">
        <f t="shared" si="11"/>
        <v>0</v>
      </c>
      <c r="BZ295" s="1138">
        <f t="shared" si="11"/>
        <v>0</v>
      </c>
      <c r="CA295" s="1138">
        <f t="shared" si="11"/>
        <v>10038366</v>
      </c>
      <c r="CB295" s="1138">
        <f t="shared" si="11"/>
        <v>0</v>
      </c>
    </row>
    <row r="296" spans="1:80" x14ac:dyDescent="0.3">
      <c r="A296" s="1145" t="s">
        <v>804</v>
      </c>
      <c r="C296" s="1146" t="s">
        <v>806</v>
      </c>
      <c r="E296" s="1139" t="e">
        <f>E45*365/E50</f>
        <v>#DIV/0!</v>
      </c>
      <c r="F296" s="1139" t="e">
        <f t="shared" ref="F296:BQ296" si="12">F45*365/F50</f>
        <v>#DIV/0!</v>
      </c>
      <c r="G296" s="1139" t="e">
        <f t="shared" si="12"/>
        <v>#DIV/0!</v>
      </c>
      <c r="H296" s="1139">
        <f t="shared" si="12"/>
        <v>52.823488352514573</v>
      </c>
      <c r="I296" s="1139">
        <f t="shared" si="12"/>
        <v>26.428956762627138</v>
      </c>
      <c r="J296" s="1139">
        <f t="shared" si="12"/>
        <v>40.145749317276838</v>
      </c>
      <c r="K296" s="1139">
        <f t="shared" si="12"/>
        <v>34.033780794521377</v>
      </c>
      <c r="L296" s="1139">
        <f t="shared" si="12"/>
        <v>102.56935379508243</v>
      </c>
      <c r="M296" s="1139">
        <f t="shared" si="12"/>
        <v>78.849558211819541</v>
      </c>
      <c r="N296" s="1139" t="e">
        <f t="shared" si="12"/>
        <v>#DIV/0!</v>
      </c>
      <c r="O296" s="1139">
        <f t="shared" si="12"/>
        <v>52.02064459877387</v>
      </c>
      <c r="P296" s="1139">
        <f t="shared" si="12"/>
        <v>34.68830241331279</v>
      </c>
      <c r="Q296" s="1139" t="e">
        <f t="shared" si="12"/>
        <v>#DIV/0!</v>
      </c>
      <c r="R296" s="1139">
        <f t="shared" si="12"/>
        <v>88.177762340127273</v>
      </c>
      <c r="S296" s="1139">
        <f t="shared" si="12"/>
        <v>72.253767110135072</v>
      </c>
      <c r="T296" s="1139">
        <f t="shared" si="12"/>
        <v>33.327229495563635</v>
      </c>
      <c r="U296" s="1139" t="e">
        <f t="shared" si="12"/>
        <v>#DIV/0!</v>
      </c>
      <c r="V296" s="1139">
        <f t="shared" si="12"/>
        <v>45.742006476463949</v>
      </c>
      <c r="W296" s="1139" t="e">
        <f t="shared" si="12"/>
        <v>#DIV/0!</v>
      </c>
      <c r="X296" s="1139" t="e">
        <f t="shared" si="12"/>
        <v>#DIV/0!</v>
      </c>
      <c r="Y296" s="1139" t="e">
        <f t="shared" si="12"/>
        <v>#DIV/0!</v>
      </c>
      <c r="Z296" s="1139">
        <f t="shared" si="12"/>
        <v>62.231233712905649</v>
      </c>
      <c r="AA296" s="1139">
        <f t="shared" si="12"/>
        <v>18.572905096525858</v>
      </c>
      <c r="AB296" s="1139">
        <f t="shared" si="12"/>
        <v>65.671595792692102</v>
      </c>
      <c r="AC296" s="1139" t="e">
        <f t="shared" si="12"/>
        <v>#DIV/0!</v>
      </c>
      <c r="AD296" s="1139">
        <f t="shared" si="12"/>
        <v>1.9937515747039556</v>
      </c>
      <c r="AE296" s="1139">
        <f t="shared" si="12"/>
        <v>46.177588594916131</v>
      </c>
      <c r="AF296" s="1139">
        <f t="shared" si="12"/>
        <v>50.765819759301898</v>
      </c>
      <c r="AG296" s="1139">
        <f t="shared" si="12"/>
        <v>70.835971113933169</v>
      </c>
      <c r="AH296" s="1139" t="e">
        <f t="shared" si="12"/>
        <v>#DIV/0!</v>
      </c>
      <c r="AI296" s="1139" t="e">
        <f t="shared" si="12"/>
        <v>#DIV/0!</v>
      </c>
      <c r="AJ296" s="1139">
        <f t="shared" si="12"/>
        <v>73.677632626023225</v>
      </c>
      <c r="AK296" s="1139">
        <f t="shared" si="12"/>
        <v>25.492408422118384</v>
      </c>
      <c r="AL296" s="1139">
        <f t="shared" si="12"/>
        <v>61.078930232558136</v>
      </c>
      <c r="AM296" s="1139" t="e">
        <f t="shared" si="12"/>
        <v>#DIV/0!</v>
      </c>
      <c r="AN296" s="1139">
        <f t="shared" si="12"/>
        <v>55.527637720049903</v>
      </c>
      <c r="AO296" s="1139">
        <f t="shared" si="12"/>
        <v>23.207333964948287</v>
      </c>
      <c r="AP296" s="1139">
        <f t="shared" si="12"/>
        <v>57.73343409625258</v>
      </c>
      <c r="AQ296" s="1139" t="e">
        <f t="shared" si="12"/>
        <v>#DIV/0!</v>
      </c>
      <c r="AR296" s="1139">
        <f t="shared" si="12"/>
        <v>48.556259633750926</v>
      </c>
      <c r="AS296" s="1139">
        <f t="shared" si="12"/>
        <v>120.92427350859337</v>
      </c>
      <c r="AT296" s="1139">
        <f t="shared" si="12"/>
        <v>38.425614766764369</v>
      </c>
      <c r="AU296" s="1139">
        <f t="shared" si="12"/>
        <v>41.710110830846979</v>
      </c>
      <c r="AV296" s="1139">
        <f t="shared" si="12"/>
        <v>36.038205242174143</v>
      </c>
      <c r="AW296" s="1139">
        <f t="shared" si="12"/>
        <v>37.551694740615908</v>
      </c>
      <c r="AX296" s="1139">
        <f t="shared" si="12"/>
        <v>54.134966887758921</v>
      </c>
      <c r="AY296" s="1139">
        <f t="shared" si="12"/>
        <v>50.424072104686182</v>
      </c>
      <c r="AZ296" s="1139">
        <f t="shared" si="12"/>
        <v>29.435825681051853</v>
      </c>
      <c r="BA296" s="1139">
        <f t="shared" si="12"/>
        <v>40.705040871934607</v>
      </c>
      <c r="BB296" s="1139" t="e">
        <f t="shared" si="12"/>
        <v>#DIV/0!</v>
      </c>
      <c r="BC296" s="1139" t="e">
        <f t="shared" si="12"/>
        <v>#DIV/0!</v>
      </c>
      <c r="BD296" s="1139" t="e">
        <f t="shared" si="12"/>
        <v>#DIV/0!</v>
      </c>
      <c r="BE296" s="1139" t="e">
        <f t="shared" si="12"/>
        <v>#DIV/0!</v>
      </c>
      <c r="BF296" s="1139" t="e">
        <f t="shared" si="12"/>
        <v>#DIV/0!</v>
      </c>
      <c r="BG296" s="1139">
        <f t="shared" si="12"/>
        <v>52.293696161720057</v>
      </c>
      <c r="BH296" s="1139" t="e">
        <f t="shared" si="12"/>
        <v>#DIV/0!</v>
      </c>
      <c r="BI296" s="1139">
        <f t="shared" si="12"/>
        <v>34.977218175388245</v>
      </c>
      <c r="BJ296" s="1139">
        <f t="shared" si="12"/>
        <v>69.976798740198547</v>
      </c>
      <c r="BK296" s="1139" t="e">
        <f t="shared" si="12"/>
        <v>#DIV/0!</v>
      </c>
      <c r="BL296" s="1139">
        <f t="shared" si="12"/>
        <v>28.645944694401408</v>
      </c>
      <c r="BM296" s="1139">
        <f t="shared" si="12"/>
        <v>63.229748410430254</v>
      </c>
      <c r="BN296" s="1139" t="e">
        <f t="shared" si="12"/>
        <v>#DIV/0!</v>
      </c>
      <c r="BO296" s="1139">
        <f t="shared" si="12"/>
        <v>54.529434673115659</v>
      </c>
      <c r="BP296" s="1139">
        <f t="shared" si="12"/>
        <v>64.662111763899091</v>
      </c>
      <c r="BQ296" s="1139">
        <f t="shared" si="12"/>
        <v>36.247789549700798</v>
      </c>
      <c r="BR296" s="1139">
        <f>BR45*365/BR50</f>
        <v>30.482595135079414</v>
      </c>
      <c r="BS296" s="1139" t="e">
        <f>BS45*365/BS50</f>
        <v>#DIV/0!</v>
      </c>
      <c r="BT296" s="1139" t="e">
        <f t="shared" ref="BT296:CB296" si="13">BT45*365/BT50</f>
        <v>#DIV/0!</v>
      </c>
      <c r="BU296" s="1139">
        <f t="shared" si="13"/>
        <v>109.92991286917534</v>
      </c>
      <c r="BV296" s="1139">
        <f t="shared" si="13"/>
        <v>41.907846335318091</v>
      </c>
      <c r="BW296" s="1139">
        <f t="shared" si="13"/>
        <v>62.413082334815812</v>
      </c>
      <c r="BX296" s="1139">
        <f t="shared" si="13"/>
        <v>39.435472079540254</v>
      </c>
      <c r="BY296" s="1139" t="e">
        <f t="shared" si="13"/>
        <v>#DIV/0!</v>
      </c>
      <c r="BZ296" s="1139" t="e">
        <f t="shared" si="13"/>
        <v>#DIV/0!</v>
      </c>
      <c r="CA296" s="1139">
        <f t="shared" si="13"/>
        <v>50.920279202633829</v>
      </c>
      <c r="CB296" s="1139" t="e">
        <f t="shared" si="13"/>
        <v>#DIV/0!</v>
      </c>
    </row>
    <row r="297" spans="1:80" x14ac:dyDescent="0.3">
      <c r="A297" s="1145" t="s">
        <v>805</v>
      </c>
      <c r="C297" s="1146" t="s">
        <v>807</v>
      </c>
      <c r="E297" s="1139" t="e">
        <f>E53*365/E57</f>
        <v>#DIV/0!</v>
      </c>
      <c r="F297" s="1139" t="e">
        <f t="shared" ref="F297:BQ297" si="14">F53*365/F57</f>
        <v>#DIV/0!</v>
      </c>
      <c r="G297" s="1139" t="e">
        <f t="shared" si="14"/>
        <v>#DIV/0!</v>
      </c>
      <c r="H297" s="1139" t="e">
        <f t="shared" si="14"/>
        <v>#DIV/0!</v>
      </c>
      <c r="I297" s="1139" t="e">
        <f t="shared" si="14"/>
        <v>#DIV/0!</v>
      </c>
      <c r="J297" s="1139" t="e">
        <f t="shared" si="14"/>
        <v>#DIV/0!</v>
      </c>
      <c r="K297" s="1139" t="e">
        <f t="shared" si="14"/>
        <v>#DIV/0!</v>
      </c>
      <c r="L297" s="1139" t="e">
        <f t="shared" si="14"/>
        <v>#DIV/0!</v>
      </c>
      <c r="M297" s="1139" t="e">
        <f t="shared" si="14"/>
        <v>#DIV/0!</v>
      </c>
      <c r="N297" s="1139" t="e">
        <f t="shared" si="14"/>
        <v>#DIV/0!</v>
      </c>
      <c r="O297" s="1139" t="e">
        <f t="shared" si="14"/>
        <v>#DIV/0!</v>
      </c>
      <c r="P297" s="1139" t="e">
        <f t="shared" si="14"/>
        <v>#DIV/0!</v>
      </c>
      <c r="Q297" s="1139" t="e">
        <f t="shared" si="14"/>
        <v>#DIV/0!</v>
      </c>
      <c r="R297" s="1139" t="e">
        <f t="shared" si="14"/>
        <v>#DIV/0!</v>
      </c>
      <c r="S297" s="1139" t="e">
        <f t="shared" si="14"/>
        <v>#DIV/0!</v>
      </c>
      <c r="T297" s="1139">
        <f t="shared" si="14"/>
        <v>67.328862045912302</v>
      </c>
      <c r="U297" s="1139" t="e">
        <f t="shared" si="14"/>
        <v>#DIV/0!</v>
      </c>
      <c r="V297" s="1139">
        <f t="shared" si="14"/>
        <v>45.75941331379822</v>
      </c>
      <c r="W297" s="1139" t="e">
        <f t="shared" si="14"/>
        <v>#DIV/0!</v>
      </c>
      <c r="X297" s="1139" t="e">
        <f t="shared" si="14"/>
        <v>#DIV/0!</v>
      </c>
      <c r="Y297" s="1139" t="e">
        <f t="shared" si="14"/>
        <v>#DIV/0!</v>
      </c>
      <c r="Z297" s="1139" t="e">
        <f t="shared" si="14"/>
        <v>#DIV/0!</v>
      </c>
      <c r="AA297" s="1139">
        <f t="shared" si="14"/>
        <v>19.481648747227311</v>
      </c>
      <c r="AB297" s="1139">
        <f t="shared" si="14"/>
        <v>0</v>
      </c>
      <c r="AC297" s="1139" t="e">
        <f t="shared" si="14"/>
        <v>#DIV/0!</v>
      </c>
      <c r="AD297" s="1139" t="e">
        <f t="shared" si="14"/>
        <v>#DIV/0!</v>
      </c>
      <c r="AE297" s="1139" t="e">
        <f t="shared" si="14"/>
        <v>#DIV/0!</v>
      </c>
      <c r="AF297" s="1139">
        <f t="shared" si="14"/>
        <v>47.563028083767989</v>
      </c>
      <c r="AG297" s="1139" t="e">
        <f t="shared" si="14"/>
        <v>#DIV/0!</v>
      </c>
      <c r="AH297" s="1139" t="e">
        <f t="shared" si="14"/>
        <v>#DIV/0!</v>
      </c>
      <c r="AI297" s="1139" t="e">
        <f t="shared" si="14"/>
        <v>#DIV/0!</v>
      </c>
      <c r="AJ297" s="1139" t="e">
        <f t="shared" si="14"/>
        <v>#DIV/0!</v>
      </c>
      <c r="AK297" s="1139">
        <f t="shared" si="14"/>
        <v>30.482191025515238</v>
      </c>
      <c r="AL297" s="1139" t="e">
        <f t="shared" si="14"/>
        <v>#DIV/0!</v>
      </c>
      <c r="AM297" s="1139" t="e">
        <f t="shared" si="14"/>
        <v>#DIV/0!</v>
      </c>
      <c r="AN297" s="1139" t="e">
        <f t="shared" si="14"/>
        <v>#DIV/0!</v>
      </c>
      <c r="AO297" s="1139" t="e">
        <f t="shared" si="14"/>
        <v>#DIV/0!</v>
      </c>
      <c r="AP297" s="1139" t="e">
        <f t="shared" si="14"/>
        <v>#DIV/0!</v>
      </c>
      <c r="AQ297" s="1139" t="e">
        <f t="shared" si="14"/>
        <v>#DIV/0!</v>
      </c>
      <c r="AR297" s="1139">
        <f t="shared" si="14"/>
        <v>47.989567896029889</v>
      </c>
      <c r="AS297" s="1139" t="e">
        <f t="shared" si="14"/>
        <v>#DIV/0!</v>
      </c>
      <c r="AT297" s="1139" t="e">
        <f t="shared" si="14"/>
        <v>#DIV/0!</v>
      </c>
      <c r="AU297" s="1139" t="e">
        <f t="shared" si="14"/>
        <v>#DIV/0!</v>
      </c>
      <c r="AV297" s="1139">
        <f t="shared" si="14"/>
        <v>34.582649889621699</v>
      </c>
      <c r="AW297" s="1139" t="e">
        <f t="shared" si="14"/>
        <v>#DIV/0!</v>
      </c>
      <c r="AX297" s="1139" t="e">
        <f t="shared" si="14"/>
        <v>#DIV/0!</v>
      </c>
      <c r="AY297" s="1139" t="e">
        <f t="shared" si="14"/>
        <v>#DIV/0!</v>
      </c>
      <c r="AZ297" s="1139" t="e">
        <f t="shared" si="14"/>
        <v>#DIV/0!</v>
      </c>
      <c r="BA297" s="1139">
        <f t="shared" si="14"/>
        <v>38.711018417647118</v>
      </c>
      <c r="BB297" s="1139" t="e">
        <f t="shared" si="14"/>
        <v>#DIV/0!</v>
      </c>
      <c r="BC297" s="1139" t="e">
        <f t="shared" si="14"/>
        <v>#DIV/0!</v>
      </c>
      <c r="BD297" s="1139" t="e">
        <f t="shared" si="14"/>
        <v>#DIV/0!</v>
      </c>
      <c r="BE297" s="1139" t="e">
        <f t="shared" si="14"/>
        <v>#DIV/0!</v>
      </c>
      <c r="BF297" s="1139" t="e">
        <f t="shared" si="14"/>
        <v>#DIV/0!</v>
      </c>
      <c r="BG297" s="1139">
        <f t="shared" si="14"/>
        <v>55.84967572320447</v>
      </c>
      <c r="BH297" s="1139" t="e">
        <f t="shared" si="14"/>
        <v>#DIV/0!</v>
      </c>
      <c r="BI297" s="1139" t="e">
        <f t="shared" si="14"/>
        <v>#DIV/0!</v>
      </c>
      <c r="BJ297" s="1139" t="e">
        <f t="shared" si="14"/>
        <v>#DIV/0!</v>
      </c>
      <c r="BK297" s="1139" t="e">
        <f t="shared" si="14"/>
        <v>#DIV/0!</v>
      </c>
      <c r="BL297" s="1139">
        <f t="shared" si="14"/>
        <v>31.116577978631714</v>
      </c>
      <c r="BM297" s="1139" t="e">
        <f t="shared" si="14"/>
        <v>#DIV/0!</v>
      </c>
      <c r="BN297" s="1139" t="e">
        <f t="shared" si="14"/>
        <v>#DIV/0!</v>
      </c>
      <c r="BO297" s="1139" t="e">
        <f t="shared" si="14"/>
        <v>#DIV/0!</v>
      </c>
      <c r="BP297" s="1139" t="e">
        <f t="shared" si="14"/>
        <v>#DIV/0!</v>
      </c>
      <c r="BQ297" s="1139" t="e">
        <f t="shared" si="14"/>
        <v>#DIV/0!</v>
      </c>
      <c r="BR297" s="1139" t="e">
        <f>BR53*365/BR57</f>
        <v>#DIV/0!</v>
      </c>
      <c r="BS297" s="1139" t="e">
        <f>BS53*365/BS57</f>
        <v>#DIV/0!</v>
      </c>
      <c r="BT297" s="1139" t="e">
        <f t="shared" ref="BT297:CB297" si="15">BT53*365/BT57</f>
        <v>#DIV/0!</v>
      </c>
      <c r="BU297" s="1139" t="e">
        <f t="shared" si="15"/>
        <v>#DIV/0!</v>
      </c>
      <c r="BV297" s="1139" t="e">
        <f t="shared" si="15"/>
        <v>#DIV/0!</v>
      </c>
      <c r="BW297" s="1139" t="e">
        <f t="shared" si="15"/>
        <v>#DIV/0!</v>
      </c>
      <c r="BX297" s="1139" t="e">
        <f t="shared" si="15"/>
        <v>#DIV/0!</v>
      </c>
      <c r="BY297" s="1139" t="e">
        <f t="shared" si="15"/>
        <v>#DIV/0!</v>
      </c>
      <c r="BZ297" s="1139" t="e">
        <f t="shared" si="15"/>
        <v>#DIV/0!</v>
      </c>
      <c r="CA297" s="1139" t="e">
        <f t="shared" si="15"/>
        <v>#DIV/0!</v>
      </c>
      <c r="CB297" s="1139" t="e">
        <f t="shared" si="15"/>
        <v>#DIV/0!</v>
      </c>
    </row>
    <row r="298" spans="1:80" x14ac:dyDescent="0.3">
      <c r="A298" s="1231" t="s">
        <v>956</v>
      </c>
      <c r="B298" s="1231"/>
      <c r="C298" s="1232" t="s">
        <v>959</v>
      </c>
      <c r="E298" s="1139">
        <f t="shared" ref="E298:BP298" si="16">+E290-E8</f>
        <v>165631</v>
      </c>
      <c r="F298" s="1139">
        <f t="shared" si="16"/>
        <v>16479852</v>
      </c>
      <c r="G298" s="1139">
        <f t="shared" si="16"/>
        <v>0</v>
      </c>
      <c r="H298" s="1139">
        <f t="shared" si="16"/>
        <v>28489175</v>
      </c>
      <c r="I298" s="1139">
        <f t="shared" si="16"/>
        <v>3943972</v>
      </c>
      <c r="J298" s="1139">
        <f t="shared" si="16"/>
        <v>386737</v>
      </c>
      <c r="K298" s="1139">
        <f t="shared" si="16"/>
        <v>2601682</v>
      </c>
      <c r="L298" s="1139">
        <f t="shared" si="16"/>
        <v>778171</v>
      </c>
      <c r="M298" s="1139">
        <f t="shared" si="16"/>
        <v>17322866</v>
      </c>
      <c r="N298" s="1139">
        <f t="shared" si="16"/>
        <v>190079</v>
      </c>
      <c r="O298" s="1139">
        <f t="shared" si="16"/>
        <v>428050</v>
      </c>
      <c r="P298" s="1139">
        <f t="shared" si="16"/>
        <v>444348</v>
      </c>
      <c r="Q298" s="1139">
        <f t="shared" si="16"/>
        <v>13525693</v>
      </c>
      <c r="R298" s="1139">
        <f t="shared" si="16"/>
        <v>16884138</v>
      </c>
      <c r="S298" s="1139">
        <f t="shared" si="16"/>
        <v>2621416</v>
      </c>
      <c r="T298" s="1139">
        <f t="shared" si="16"/>
        <v>7615613</v>
      </c>
      <c r="U298" s="1139">
        <f t="shared" si="16"/>
        <v>0</v>
      </c>
      <c r="V298" s="1139">
        <f t="shared" si="16"/>
        <v>5004721</v>
      </c>
      <c r="W298" s="1139">
        <f t="shared" si="16"/>
        <v>167353</v>
      </c>
      <c r="X298" s="1139">
        <f t="shared" si="16"/>
        <v>10543179</v>
      </c>
      <c r="Y298" s="1139">
        <f t="shared" si="16"/>
        <v>5184016</v>
      </c>
      <c r="Z298" s="1139">
        <f t="shared" si="16"/>
        <v>3865408</v>
      </c>
      <c r="AA298" s="1139">
        <f t="shared" si="16"/>
        <v>1501048</v>
      </c>
      <c r="AB298" s="1139">
        <f t="shared" si="16"/>
        <v>2470189</v>
      </c>
      <c r="AC298" s="1139">
        <f t="shared" si="16"/>
        <v>1016597</v>
      </c>
      <c r="AD298" s="1139">
        <f t="shared" si="16"/>
        <v>259847</v>
      </c>
      <c r="AE298" s="1139">
        <f t="shared" si="16"/>
        <v>1079888</v>
      </c>
      <c r="AF298" s="1139">
        <f t="shared" si="16"/>
        <v>588178</v>
      </c>
      <c r="AG298" s="1139">
        <f t="shared" si="16"/>
        <v>128260</v>
      </c>
      <c r="AH298" s="1139">
        <f t="shared" si="16"/>
        <v>61364</v>
      </c>
      <c r="AI298" s="1139">
        <f t="shared" si="16"/>
        <v>140910</v>
      </c>
      <c r="AJ298" s="1139">
        <f t="shared" si="16"/>
        <v>1524214</v>
      </c>
      <c r="AK298" s="1139">
        <f t="shared" si="16"/>
        <v>2384564</v>
      </c>
      <c r="AL298" s="1139">
        <f t="shared" si="16"/>
        <v>219106</v>
      </c>
      <c r="AM298" s="1139">
        <f t="shared" si="16"/>
        <v>110588</v>
      </c>
      <c r="AN298" s="1139">
        <f t="shared" si="16"/>
        <v>7963629</v>
      </c>
      <c r="AO298" s="1139">
        <f t="shared" si="16"/>
        <v>9961998</v>
      </c>
      <c r="AP298" s="1139">
        <f t="shared" si="16"/>
        <v>498727</v>
      </c>
      <c r="AQ298" s="1139">
        <f t="shared" si="16"/>
        <v>6207444</v>
      </c>
      <c r="AR298" s="1139">
        <f t="shared" si="16"/>
        <v>7490605</v>
      </c>
      <c r="AS298" s="1139">
        <f t="shared" si="16"/>
        <v>2501703</v>
      </c>
      <c r="AT298" s="1139">
        <f t="shared" si="16"/>
        <v>359072</v>
      </c>
      <c r="AU298" s="1139">
        <f t="shared" si="16"/>
        <v>2195798</v>
      </c>
      <c r="AV298" s="1139">
        <f t="shared" si="16"/>
        <v>3692639</v>
      </c>
      <c r="AW298" s="1139">
        <f t="shared" si="16"/>
        <v>108629</v>
      </c>
      <c r="AX298" s="1139">
        <f t="shared" si="16"/>
        <v>258070</v>
      </c>
      <c r="AY298" s="1139">
        <f t="shared" si="16"/>
        <v>2677726</v>
      </c>
      <c r="AZ298" s="1139">
        <f t="shared" si="16"/>
        <v>1711500</v>
      </c>
      <c r="BA298" s="1139">
        <f t="shared" si="16"/>
        <v>1157798</v>
      </c>
      <c r="BB298" s="1139">
        <f t="shared" si="16"/>
        <v>83703</v>
      </c>
      <c r="BC298" s="1139">
        <f t="shared" si="16"/>
        <v>0</v>
      </c>
      <c r="BD298" s="1139">
        <f t="shared" si="16"/>
        <v>0</v>
      </c>
      <c r="BE298" s="1139">
        <f t="shared" si="16"/>
        <v>359306</v>
      </c>
      <c r="BF298" s="1139">
        <f t="shared" si="16"/>
        <v>0</v>
      </c>
      <c r="BG298" s="1139">
        <f t="shared" si="16"/>
        <v>402115</v>
      </c>
      <c r="BH298" s="1139">
        <f t="shared" si="16"/>
        <v>134535</v>
      </c>
      <c r="BI298" s="1139">
        <f t="shared" si="16"/>
        <v>2491955</v>
      </c>
      <c r="BJ298" s="1139">
        <f t="shared" si="16"/>
        <v>2920470</v>
      </c>
      <c r="BK298" s="1139">
        <f t="shared" si="16"/>
        <v>0</v>
      </c>
      <c r="BL298" s="1139">
        <f t="shared" si="16"/>
        <v>2171567</v>
      </c>
      <c r="BM298" s="1139">
        <f t="shared" si="16"/>
        <v>5396986</v>
      </c>
      <c r="BN298" s="1139">
        <f t="shared" si="16"/>
        <v>125766</v>
      </c>
      <c r="BO298" s="1139">
        <f t="shared" si="16"/>
        <v>2422893</v>
      </c>
      <c r="BP298" s="1139">
        <f t="shared" si="16"/>
        <v>2906614</v>
      </c>
      <c r="BQ298" s="1139">
        <f t="shared" ref="BQ298:CB298" si="17">+BQ290-BQ8</f>
        <v>1462880</v>
      </c>
      <c r="BR298" s="1139">
        <f t="shared" si="17"/>
        <v>1146129</v>
      </c>
      <c r="BS298" s="1139">
        <f t="shared" si="17"/>
        <v>1565789</v>
      </c>
      <c r="BT298" s="1139">
        <f t="shared" si="17"/>
        <v>9649923</v>
      </c>
      <c r="BU298" s="1139">
        <f t="shared" si="17"/>
        <v>1723628</v>
      </c>
      <c r="BV298" s="1139">
        <f t="shared" si="17"/>
        <v>1171201</v>
      </c>
      <c r="BW298" s="1139">
        <f t="shared" si="17"/>
        <v>890300</v>
      </c>
      <c r="BX298" s="1139">
        <f t="shared" si="17"/>
        <v>644639</v>
      </c>
      <c r="BY298" s="1139">
        <f t="shared" si="17"/>
        <v>156637</v>
      </c>
      <c r="BZ298" s="1139">
        <f t="shared" si="17"/>
        <v>204114</v>
      </c>
      <c r="CA298" s="1139">
        <f t="shared" si="17"/>
        <v>10598856</v>
      </c>
      <c r="CB298" s="1139">
        <f t="shared" si="17"/>
        <v>122759</v>
      </c>
    </row>
    <row r="299" spans="1:80" x14ac:dyDescent="0.3">
      <c r="A299" s="1231" t="s">
        <v>957</v>
      </c>
      <c r="B299" s="1231"/>
      <c r="C299" s="1231" t="s">
        <v>958</v>
      </c>
      <c r="E299" s="1228">
        <f t="shared" ref="E299:BP299" si="18">E298/E291</f>
        <v>7.9974756656193677E-2</v>
      </c>
      <c r="F299" s="1228">
        <f t="shared" si="18"/>
        <v>1.1660008916307765</v>
      </c>
      <c r="G299" s="1228" t="e">
        <f t="shared" si="18"/>
        <v>#DIV/0!</v>
      </c>
      <c r="H299" s="1228">
        <f t="shared" si="18"/>
        <v>0.64698739275969941</v>
      </c>
      <c r="I299" s="1228">
        <f t="shared" si="18"/>
        <v>0.95499505428182963</v>
      </c>
      <c r="J299" s="1228">
        <f t="shared" si="18"/>
        <v>1.5525869959693608</v>
      </c>
      <c r="K299" s="1228">
        <f t="shared" si="18"/>
        <v>1.9663250244309092</v>
      </c>
      <c r="L299" s="1228">
        <f t="shared" si="18"/>
        <v>0.31543351024264804</v>
      </c>
      <c r="M299" s="1228">
        <f t="shared" si="18"/>
        <v>0.38609517927142073</v>
      </c>
      <c r="N299" s="1228">
        <f t="shared" si="18"/>
        <v>2.1591789442595388</v>
      </c>
      <c r="O299" s="1228">
        <f t="shared" si="18"/>
        <v>0.4943388643544781</v>
      </c>
      <c r="P299" s="1228">
        <f t="shared" si="18"/>
        <v>0.29491823755775937</v>
      </c>
      <c r="Q299" s="1228">
        <f t="shared" si="18"/>
        <v>0.44044813016146606</v>
      </c>
      <c r="R299" s="1228">
        <f t="shared" si="18"/>
        <v>0.94546862219457695</v>
      </c>
      <c r="S299" s="1228">
        <f t="shared" si="18"/>
        <v>0.38603866283055299</v>
      </c>
      <c r="T299" s="1228">
        <f t="shared" si="18"/>
        <v>0.5039147350938602</v>
      </c>
      <c r="U299" s="1228" t="e">
        <f t="shared" si="18"/>
        <v>#DIV/0!</v>
      </c>
      <c r="V299" s="1228">
        <f t="shared" si="18"/>
        <v>0.21589699590514824</v>
      </c>
      <c r="W299" s="1228">
        <f t="shared" si="18"/>
        <v>6.5796343620994691</v>
      </c>
      <c r="X299" s="1228">
        <f t="shared" si="18"/>
        <v>1.1545202098928755</v>
      </c>
      <c r="Y299" s="1228">
        <f t="shared" si="18"/>
        <v>0.33148754255883423</v>
      </c>
      <c r="Z299" s="1228">
        <f t="shared" si="18"/>
        <v>0.65071316695688941</v>
      </c>
      <c r="AA299" s="1228">
        <f t="shared" si="18"/>
        <v>0.93914109815306068</v>
      </c>
      <c r="AB299" s="1228">
        <f t="shared" si="18"/>
        <v>0.45943131962200062</v>
      </c>
      <c r="AC299" s="1228">
        <f t="shared" si="18"/>
        <v>0.7709406246563707</v>
      </c>
      <c r="AD299" s="1228">
        <f t="shared" si="18"/>
        <v>0.7962877271905443</v>
      </c>
      <c r="AE299" s="1228">
        <f t="shared" si="18"/>
        <v>0.78562506229270623</v>
      </c>
      <c r="AF299" s="1228">
        <f t="shared" si="18"/>
        <v>0.17109786570555055</v>
      </c>
      <c r="AG299" s="1228">
        <f t="shared" si="18"/>
        <v>1.0014131902966139</v>
      </c>
      <c r="AH299" s="1228">
        <f t="shared" si="18"/>
        <v>1.6157350114536981</v>
      </c>
      <c r="AI299" s="1228">
        <f t="shared" si="18"/>
        <v>1.5003034465135592</v>
      </c>
      <c r="AJ299" s="1228">
        <f t="shared" si="18"/>
        <v>0.55955608909055532</v>
      </c>
      <c r="AK299" s="1228">
        <f t="shared" si="18"/>
        <v>0.2961636503373033</v>
      </c>
      <c r="AL299" s="1228">
        <f t="shared" si="18"/>
        <v>0.60133162077899271</v>
      </c>
      <c r="AM299" s="1228">
        <f t="shared" si="18"/>
        <v>4.758724557855329</v>
      </c>
      <c r="AN299" s="1228">
        <f t="shared" si="18"/>
        <v>0.37138775471372898</v>
      </c>
      <c r="AO299" s="1228">
        <f t="shared" si="18"/>
        <v>0.57336273165669116</v>
      </c>
      <c r="AP299" s="1228">
        <f t="shared" si="18"/>
        <v>1.1423914935725346</v>
      </c>
      <c r="AQ299" s="1228">
        <f t="shared" si="18"/>
        <v>1.3657174652143178</v>
      </c>
      <c r="AR299" s="1228">
        <f t="shared" si="18"/>
        <v>0.33630270473736812</v>
      </c>
      <c r="AS299" s="1228">
        <f t="shared" si="18"/>
        <v>0.96067706973300604</v>
      </c>
      <c r="AT299" s="1228">
        <f t="shared" si="18"/>
        <v>0.57297595738807272</v>
      </c>
      <c r="AU299" s="1228">
        <f t="shared" si="18"/>
        <v>0.3573257209660789</v>
      </c>
      <c r="AV299" s="1228">
        <f t="shared" si="18"/>
        <v>0.33044686815724439</v>
      </c>
      <c r="AW299" s="1228">
        <f t="shared" si="18"/>
        <v>0.35720650955091465</v>
      </c>
      <c r="AX299" s="1228">
        <f t="shared" si="18"/>
        <v>0.4566163994062058</v>
      </c>
      <c r="AY299" s="1228">
        <f t="shared" si="18"/>
        <v>0.94128957916042999</v>
      </c>
      <c r="AZ299" s="1228">
        <f t="shared" si="18"/>
        <v>0.49411351012867738</v>
      </c>
      <c r="BA299" s="1228">
        <f t="shared" si="18"/>
        <v>0.29496159480287881</v>
      </c>
      <c r="BB299" s="1228">
        <f t="shared" si="18"/>
        <v>0.74830363768025243</v>
      </c>
      <c r="BC299" s="1228" t="e">
        <f t="shared" si="18"/>
        <v>#DIV/0!</v>
      </c>
      <c r="BD299" s="1228" t="e">
        <f t="shared" si="18"/>
        <v>#DIV/0!</v>
      </c>
      <c r="BE299" s="1228">
        <f t="shared" si="18"/>
        <v>4.7458822597049224</v>
      </c>
      <c r="BF299" s="1228" t="e">
        <f t="shared" si="18"/>
        <v>#DIV/0!</v>
      </c>
      <c r="BG299" s="1228">
        <f t="shared" si="18"/>
        <v>1.0397473257434524</v>
      </c>
      <c r="BH299" s="1228">
        <f t="shared" si="18"/>
        <v>2.4387745853349045</v>
      </c>
      <c r="BI299" s="1228">
        <f t="shared" si="18"/>
        <v>0.83429028469498301</v>
      </c>
      <c r="BJ299" s="1228">
        <f t="shared" si="18"/>
        <v>1.1857248708397194</v>
      </c>
      <c r="BK299" s="1228" t="e">
        <f t="shared" si="18"/>
        <v>#DIV/0!</v>
      </c>
      <c r="BL299" s="1228">
        <f t="shared" si="18"/>
        <v>0.23097068725140704</v>
      </c>
      <c r="BM299" s="1228">
        <f t="shared" si="18"/>
        <v>1.3239488169921187</v>
      </c>
      <c r="BN299" s="1228">
        <f t="shared" si="18"/>
        <v>3.0310172800231365</v>
      </c>
      <c r="BO299" s="1228">
        <f t="shared" si="18"/>
        <v>0.35530208022937426</v>
      </c>
      <c r="BP299" s="1228">
        <f t="shared" si="18"/>
        <v>1.5599917132883647</v>
      </c>
      <c r="BQ299" s="1228">
        <f t="shared" ref="BQ299:CB299" si="19">BQ298/BQ291</f>
        <v>1.5976288064198712</v>
      </c>
      <c r="BR299" s="1228">
        <f t="shared" si="19"/>
        <v>0.62859040481930883</v>
      </c>
      <c r="BS299" s="1228">
        <f t="shared" si="19"/>
        <v>1.2326310220880088</v>
      </c>
      <c r="BT299" s="1228">
        <f t="shared" si="19"/>
        <v>0.42391739967255743</v>
      </c>
      <c r="BU299" s="1228">
        <f t="shared" si="19"/>
        <v>0.95501750042802214</v>
      </c>
      <c r="BV299" s="1228">
        <f t="shared" si="19"/>
        <v>0.42743407659793131</v>
      </c>
      <c r="BW299" s="1228">
        <f t="shared" si="19"/>
        <v>0.78652787213422659</v>
      </c>
      <c r="BX299" s="1228">
        <f t="shared" si="19"/>
        <v>0.60860702942964717</v>
      </c>
      <c r="BY299" s="1228">
        <f t="shared" si="19"/>
        <v>5.8005110354021623</v>
      </c>
      <c r="BZ299" s="1228">
        <f t="shared" si="19"/>
        <v>4.6112868245075003</v>
      </c>
      <c r="CA299" s="1228">
        <f t="shared" si="19"/>
        <v>0.62581906267575382</v>
      </c>
      <c r="CB299" s="1228">
        <f t="shared" si="19"/>
        <v>1.8780252730777469</v>
      </c>
    </row>
    <row r="300" spans="1:80" x14ac:dyDescent="0.3">
      <c r="A300" s="1231" t="s">
        <v>1189</v>
      </c>
      <c r="B300" s="1231"/>
      <c r="C300" s="1231" t="s">
        <v>1816</v>
      </c>
      <c r="E300" s="1229" t="e">
        <f t="shared" ref="E300:BP300" si="20">E295/E32</f>
        <v>#DIV/0!</v>
      </c>
      <c r="F300" s="1229" t="e">
        <f t="shared" si="20"/>
        <v>#DIV/0!</v>
      </c>
      <c r="G300" s="1229" t="e">
        <f t="shared" si="20"/>
        <v>#DIV/0!</v>
      </c>
      <c r="H300" s="1229">
        <f t="shared" si="20"/>
        <v>5.5993999056281964</v>
      </c>
      <c r="I300" s="1229">
        <f t="shared" si="20"/>
        <v>49.907075380759593</v>
      </c>
      <c r="J300" s="1229">
        <f t="shared" si="20"/>
        <v>8.781466262975778</v>
      </c>
      <c r="K300" s="1229">
        <f t="shared" si="20"/>
        <v>596.82505679974031</v>
      </c>
      <c r="L300" s="1229">
        <f t="shared" si="20"/>
        <v>2.0646302183600818</v>
      </c>
      <c r="M300" s="1229">
        <f t="shared" si="20"/>
        <v>2.4619898876257995</v>
      </c>
      <c r="N300" s="1229" t="e">
        <f t="shared" si="20"/>
        <v>#DIV/0!</v>
      </c>
      <c r="O300" s="1229">
        <f t="shared" si="20"/>
        <v>42.434295037812078</v>
      </c>
      <c r="P300" s="1229">
        <f t="shared" si="20"/>
        <v>33.257452842632901</v>
      </c>
      <c r="Q300" s="1229" t="e">
        <f t="shared" si="20"/>
        <v>#DIV/0!</v>
      </c>
      <c r="R300" s="1229">
        <f t="shared" si="20"/>
        <v>25.432436318048897</v>
      </c>
      <c r="S300" s="1229">
        <f t="shared" si="20"/>
        <v>8.2384867318088304</v>
      </c>
      <c r="T300" s="1229">
        <f t="shared" si="20"/>
        <v>4.2781312633780173</v>
      </c>
      <c r="U300" s="1229" t="e">
        <f t="shared" si="20"/>
        <v>#DIV/0!</v>
      </c>
      <c r="V300" s="1229">
        <f t="shared" si="20"/>
        <v>3.305890697134604</v>
      </c>
      <c r="W300" s="1229" t="e">
        <f t="shared" si="20"/>
        <v>#DIV/0!</v>
      </c>
      <c r="X300" s="1229" t="e">
        <f t="shared" si="20"/>
        <v>#DIV/0!</v>
      </c>
      <c r="Y300" s="1229">
        <f t="shared" si="20"/>
        <v>1.198728901521805</v>
      </c>
      <c r="Z300" s="1229">
        <f t="shared" si="20"/>
        <v>7.5836838397623136</v>
      </c>
      <c r="AA300" s="1229">
        <f t="shared" si="20"/>
        <v>10.606314345969643</v>
      </c>
      <c r="AB300" s="1229">
        <f t="shared" si="20"/>
        <v>3.2800152054463143</v>
      </c>
      <c r="AC300" s="1229" t="e">
        <f t="shared" si="20"/>
        <v>#DIV/0!</v>
      </c>
      <c r="AD300" s="1229">
        <f t="shared" si="20"/>
        <v>17.433559650824442</v>
      </c>
      <c r="AE300" s="1229">
        <f t="shared" si="20"/>
        <v>8.1924930554873914</v>
      </c>
      <c r="AF300" s="1229">
        <f t="shared" si="20"/>
        <v>1.6428510125263094</v>
      </c>
      <c r="AG300" s="1229">
        <f t="shared" si="20"/>
        <v>85.819108280254781</v>
      </c>
      <c r="AH300" s="1229" t="e">
        <f t="shared" si="20"/>
        <v>#DIV/0!</v>
      </c>
      <c r="AI300" s="1229" t="e">
        <f t="shared" si="20"/>
        <v>#DIV/0!</v>
      </c>
      <c r="AJ300" s="1229">
        <f t="shared" si="20"/>
        <v>23.113962465060563</v>
      </c>
      <c r="AK300" s="1229">
        <f t="shared" si="20"/>
        <v>7.3551105272475619</v>
      </c>
      <c r="AL300" s="1229">
        <f t="shared" si="20"/>
        <v>20.149827200650538</v>
      </c>
      <c r="AM300" s="1229" t="e">
        <f t="shared" si="20"/>
        <v>#DIV/0!</v>
      </c>
      <c r="AN300" s="1229">
        <f t="shared" si="20"/>
        <v>13.622890016755012</v>
      </c>
      <c r="AO300" s="1229">
        <f t="shared" si="20"/>
        <v>4.7916567462134392</v>
      </c>
      <c r="AP300" s="1229">
        <f t="shared" si="20"/>
        <v>8.4915096965760419</v>
      </c>
      <c r="AQ300" s="1229" t="e">
        <f t="shared" si="20"/>
        <v>#DIV/0!</v>
      </c>
      <c r="AR300" s="1229">
        <f t="shared" si="20"/>
        <v>16.141016220135306</v>
      </c>
      <c r="AS300" s="1229">
        <f t="shared" si="20"/>
        <v>20.76506521141236</v>
      </c>
      <c r="AT300" s="1229">
        <f t="shared" si="20"/>
        <v>17.657062495712424</v>
      </c>
      <c r="AU300" s="1229">
        <f t="shared" si="20"/>
        <v>3.5520378334134524</v>
      </c>
      <c r="AV300" s="1229">
        <f t="shared" si="20"/>
        <v>3.8868487660793627</v>
      </c>
      <c r="AW300" s="1229">
        <f t="shared" si="20"/>
        <v>30.376158606591808</v>
      </c>
      <c r="AX300" s="1229">
        <f t="shared" si="20"/>
        <v>5.4402070521612176</v>
      </c>
      <c r="AY300" s="1229">
        <f t="shared" si="20"/>
        <v>32.093324572390713</v>
      </c>
      <c r="AZ300" s="1229">
        <f t="shared" si="20"/>
        <v>11.830539572569281</v>
      </c>
      <c r="BA300" s="1229">
        <f t="shared" si="20"/>
        <v>6.1499119550466022</v>
      </c>
      <c r="BB300" s="1229" t="e">
        <f t="shared" si="20"/>
        <v>#DIV/0!</v>
      </c>
      <c r="BC300" s="1229" t="e">
        <f t="shared" si="20"/>
        <v>#DIV/0!</v>
      </c>
      <c r="BD300" s="1229" t="e">
        <f t="shared" si="20"/>
        <v>#DIV/0!</v>
      </c>
      <c r="BE300" s="1229" t="e">
        <f t="shared" si="20"/>
        <v>#DIV/0!</v>
      </c>
      <c r="BF300" s="1229" t="e">
        <f t="shared" si="20"/>
        <v>#DIV/0!</v>
      </c>
      <c r="BG300" s="1229">
        <f t="shared" si="20"/>
        <v>0.45582266133853561</v>
      </c>
      <c r="BH300" s="1229" t="e">
        <f t="shared" si="20"/>
        <v>#DIV/0!</v>
      </c>
      <c r="BI300" s="1229">
        <f t="shared" si="20"/>
        <v>2.5610415152422079</v>
      </c>
      <c r="BJ300" s="1229">
        <f t="shared" si="20"/>
        <v>10.686962506193911</v>
      </c>
      <c r="BK300" s="1229" t="e">
        <f t="shared" si="20"/>
        <v>#DIV/0!</v>
      </c>
      <c r="BL300" s="1229">
        <f t="shared" si="20"/>
        <v>25.115795795795794</v>
      </c>
      <c r="BM300" s="1229">
        <f t="shared" si="20"/>
        <v>24.017978805700277</v>
      </c>
      <c r="BN300" s="1229" t="e">
        <f t="shared" si="20"/>
        <v>#DIV/0!</v>
      </c>
      <c r="BO300" s="1229">
        <f t="shared" si="20"/>
        <v>5.1158299599681536</v>
      </c>
      <c r="BP300" s="1229">
        <f t="shared" si="20"/>
        <v>15.862213914849429</v>
      </c>
      <c r="BQ300" s="1229">
        <f t="shared" ref="BQ300:CB300" si="21">BQ295/BQ32</f>
        <v>14.437741132038614</v>
      </c>
      <c r="BR300" s="1229">
        <f t="shared" si="21"/>
        <v>4.4938573928722949</v>
      </c>
      <c r="BS300" s="1229" t="e">
        <f t="shared" si="21"/>
        <v>#DIV/0!</v>
      </c>
      <c r="BT300" s="1229" t="e">
        <f t="shared" si="21"/>
        <v>#DIV/0!</v>
      </c>
      <c r="BU300" s="1229">
        <f t="shared" si="21"/>
        <v>9.5736581883359033</v>
      </c>
      <c r="BV300" s="1229">
        <f t="shared" si="21"/>
        <v>5.9209726998020216</v>
      </c>
      <c r="BW300" s="1229">
        <f t="shared" si="21"/>
        <v>3.8311050360941437</v>
      </c>
      <c r="BX300" s="1229">
        <f t="shared" si="21"/>
        <v>2.5890379459480615</v>
      </c>
      <c r="BY300" s="1229" t="e">
        <f t="shared" si="21"/>
        <v>#DIV/0!</v>
      </c>
      <c r="BZ300" s="1229" t="e">
        <f t="shared" si="21"/>
        <v>#DIV/0!</v>
      </c>
      <c r="CA300" s="1229">
        <f t="shared" si="21"/>
        <v>8.1707725241540974</v>
      </c>
      <c r="CB300" s="1229" t="e">
        <f t="shared" si="21"/>
        <v>#DIV/0!</v>
      </c>
    </row>
    <row r="301" spans="1:80" x14ac:dyDescent="0.3">
      <c r="A301" s="1231" t="s">
        <v>1196</v>
      </c>
      <c r="B301" s="1231"/>
      <c r="C301" s="1231" t="s">
        <v>1365</v>
      </c>
      <c r="E301" s="1138">
        <f t="shared" ref="E301:BP301" si="22">+E48-E49+E36-E97</f>
        <v>0</v>
      </c>
      <c r="F301" s="1138">
        <f t="shared" si="22"/>
        <v>0</v>
      </c>
      <c r="G301" s="1138">
        <f t="shared" si="22"/>
        <v>0</v>
      </c>
      <c r="H301" s="1138">
        <f t="shared" si="22"/>
        <v>6753780</v>
      </c>
      <c r="I301" s="1138">
        <f t="shared" si="22"/>
        <v>1650918</v>
      </c>
      <c r="J301" s="1138">
        <f t="shared" si="22"/>
        <v>12537</v>
      </c>
      <c r="K301" s="1138">
        <f t="shared" si="22"/>
        <v>255275</v>
      </c>
      <c r="L301" s="1138">
        <f t="shared" si="22"/>
        <v>213486</v>
      </c>
      <c r="M301" s="1138">
        <f t="shared" si="22"/>
        <v>2291643</v>
      </c>
      <c r="N301" s="1138">
        <f t="shared" si="22"/>
        <v>0</v>
      </c>
      <c r="O301" s="1138">
        <f t="shared" si="22"/>
        <v>103430</v>
      </c>
      <c r="P301" s="1138">
        <f t="shared" si="22"/>
        <v>106442</v>
      </c>
      <c r="Q301" s="1138">
        <f t="shared" si="22"/>
        <v>0</v>
      </c>
      <c r="R301" s="1138">
        <f t="shared" si="22"/>
        <v>1214910</v>
      </c>
      <c r="S301" s="1138">
        <f t="shared" si="22"/>
        <v>749848</v>
      </c>
      <c r="T301" s="1138">
        <f t="shared" si="22"/>
        <v>1007928</v>
      </c>
      <c r="U301" s="1138">
        <f t="shared" si="22"/>
        <v>0</v>
      </c>
      <c r="V301" s="1138">
        <f t="shared" si="22"/>
        <v>1962481</v>
      </c>
      <c r="W301" s="1138">
        <f t="shared" si="22"/>
        <v>0</v>
      </c>
      <c r="X301" s="1138">
        <f t="shared" si="22"/>
        <v>0</v>
      </c>
      <c r="Y301" s="1138">
        <f t="shared" si="22"/>
        <v>-151789</v>
      </c>
      <c r="Z301" s="1138">
        <f t="shared" si="22"/>
        <v>274876</v>
      </c>
      <c r="AA301" s="1138">
        <f t="shared" si="22"/>
        <v>518881</v>
      </c>
      <c r="AB301" s="1138">
        <f t="shared" si="22"/>
        <v>415484</v>
      </c>
      <c r="AC301" s="1138">
        <f t="shared" si="22"/>
        <v>0</v>
      </c>
      <c r="AD301" s="1138">
        <f t="shared" si="22"/>
        <v>-15495</v>
      </c>
      <c r="AE301" s="1138">
        <f t="shared" si="22"/>
        <v>157799</v>
      </c>
      <c r="AF301" s="1138">
        <f t="shared" si="22"/>
        <v>598921</v>
      </c>
      <c r="AG301" s="1138">
        <f t="shared" si="22"/>
        <v>12900</v>
      </c>
      <c r="AH301" s="1138">
        <f t="shared" si="22"/>
        <v>0</v>
      </c>
      <c r="AI301" s="1138">
        <f t="shared" si="22"/>
        <v>0</v>
      </c>
      <c r="AJ301" s="1138">
        <f t="shared" si="22"/>
        <v>70101</v>
      </c>
      <c r="AK301" s="1138">
        <f t="shared" si="22"/>
        <v>2402473</v>
      </c>
      <c r="AL301" s="1138">
        <f t="shared" si="22"/>
        <v>-1205</v>
      </c>
      <c r="AM301" s="1138">
        <f t="shared" si="22"/>
        <v>0</v>
      </c>
      <c r="AN301" s="1138">
        <f t="shared" si="22"/>
        <v>2802123</v>
      </c>
      <c r="AO301" s="1138">
        <f t="shared" si="22"/>
        <v>2160610</v>
      </c>
      <c r="AP301" s="1138">
        <f t="shared" si="22"/>
        <v>39773</v>
      </c>
      <c r="AQ301" s="1138">
        <f t="shared" si="22"/>
        <v>0</v>
      </c>
      <c r="AR301" s="1138">
        <f t="shared" si="22"/>
        <v>2268043</v>
      </c>
      <c r="AS301" s="1138">
        <f t="shared" si="22"/>
        <v>18633</v>
      </c>
      <c r="AT301" s="1138">
        <f t="shared" si="22"/>
        <v>19288</v>
      </c>
      <c r="AU301" s="1138">
        <f t="shared" si="22"/>
        <v>-342294</v>
      </c>
      <c r="AV301" s="1138">
        <f t="shared" si="22"/>
        <v>1012470</v>
      </c>
      <c r="AW301" s="1138">
        <f t="shared" si="22"/>
        <v>97938</v>
      </c>
      <c r="AX301" s="1138">
        <f t="shared" si="22"/>
        <v>1177</v>
      </c>
      <c r="AY301" s="1138">
        <f t="shared" si="22"/>
        <v>369897</v>
      </c>
      <c r="AZ301" s="1138">
        <f t="shared" si="22"/>
        <v>152972</v>
      </c>
      <c r="BA301" s="1138">
        <f t="shared" si="22"/>
        <v>208258</v>
      </c>
      <c r="BB301" s="1138">
        <f t="shared" si="22"/>
        <v>0</v>
      </c>
      <c r="BC301" s="1138">
        <f t="shared" si="22"/>
        <v>0</v>
      </c>
      <c r="BD301" s="1138">
        <f t="shared" si="22"/>
        <v>0</v>
      </c>
      <c r="BE301" s="1138">
        <f t="shared" si="22"/>
        <v>0</v>
      </c>
      <c r="BF301" s="1138">
        <f t="shared" si="22"/>
        <v>0</v>
      </c>
      <c r="BG301" s="1138">
        <f t="shared" si="22"/>
        <v>-45180</v>
      </c>
      <c r="BH301" s="1138">
        <f t="shared" si="22"/>
        <v>0</v>
      </c>
      <c r="BI301" s="1138">
        <f t="shared" si="22"/>
        <v>-42304</v>
      </c>
      <c r="BJ301" s="1138">
        <f t="shared" si="22"/>
        <v>186718</v>
      </c>
      <c r="BK301" s="1138">
        <f t="shared" si="22"/>
        <v>0</v>
      </c>
      <c r="BL301" s="1138">
        <f t="shared" si="22"/>
        <v>176239</v>
      </c>
      <c r="BM301" s="1138">
        <f t="shared" si="22"/>
        <v>347462</v>
      </c>
      <c r="BN301" s="1138">
        <f t="shared" si="22"/>
        <v>0</v>
      </c>
      <c r="BO301" s="1138">
        <f t="shared" si="22"/>
        <v>534564</v>
      </c>
      <c r="BP301" s="1138">
        <f t="shared" si="22"/>
        <v>341760</v>
      </c>
      <c r="BQ301" s="1138">
        <f t="shared" ref="BQ301:CB301" si="23">+BQ48-BQ49+BQ36-BQ97</f>
        <v>94800</v>
      </c>
      <c r="BR301" s="1138">
        <f t="shared" si="23"/>
        <v>326960</v>
      </c>
      <c r="BS301" s="1138">
        <f t="shared" si="23"/>
        <v>0</v>
      </c>
      <c r="BT301" s="1138">
        <f t="shared" si="23"/>
        <v>0</v>
      </c>
      <c r="BU301" s="1138">
        <f t="shared" si="23"/>
        <v>124616</v>
      </c>
      <c r="BV301" s="1138">
        <f t="shared" si="23"/>
        <v>460922</v>
      </c>
      <c r="BW301" s="1138">
        <f t="shared" si="23"/>
        <v>138058</v>
      </c>
      <c r="BX301" s="1138">
        <f t="shared" si="23"/>
        <v>161016</v>
      </c>
      <c r="BY301" s="1138">
        <f t="shared" si="23"/>
        <v>0</v>
      </c>
      <c r="BZ301" s="1138">
        <f t="shared" si="23"/>
        <v>0</v>
      </c>
      <c r="CA301" s="1138">
        <f t="shared" si="23"/>
        <v>1095980</v>
      </c>
      <c r="CB301" s="1138">
        <f t="shared" si="23"/>
        <v>0</v>
      </c>
    </row>
    <row r="302" spans="1:80" x14ac:dyDescent="0.3">
      <c r="A302" s="1231" t="s">
        <v>1195</v>
      </c>
      <c r="B302" s="1231"/>
      <c r="C302" s="1231" t="s">
        <v>1197</v>
      </c>
      <c r="E302" s="1230" t="e">
        <f t="shared" ref="E302:BP302" si="24">+E44/(E49+E115+E97-E36)</f>
        <v>#DIV/0!</v>
      </c>
      <c r="F302" s="1230" t="e">
        <f t="shared" si="24"/>
        <v>#DIV/0!</v>
      </c>
      <c r="G302" s="1230" t="e">
        <f t="shared" si="24"/>
        <v>#DIV/0!</v>
      </c>
      <c r="H302" s="1230">
        <f t="shared" si="24"/>
        <v>1.4102961414190598</v>
      </c>
      <c r="I302" s="1230">
        <f t="shared" si="24"/>
        <v>3.1151882532492263</v>
      </c>
      <c r="J302" s="1230">
        <f t="shared" si="24"/>
        <v>1.2014037708076282</v>
      </c>
      <c r="K302" s="1230">
        <f t="shared" si="24"/>
        <v>8.4342812803103779</v>
      </c>
      <c r="L302" s="1230">
        <f t="shared" si="24"/>
        <v>0.81273033517692472</v>
      </c>
      <c r="M302" s="1230">
        <f t="shared" si="24"/>
        <v>0.42275721837170466</v>
      </c>
      <c r="N302" s="1230" t="e">
        <f t="shared" si="24"/>
        <v>#DIV/0!</v>
      </c>
      <c r="O302" s="1230">
        <f t="shared" si="24"/>
        <v>2.6864249663467725</v>
      </c>
      <c r="P302" s="1230">
        <f t="shared" si="24"/>
        <v>0.71126024266297083</v>
      </c>
      <c r="Q302" s="1230" t="e">
        <f t="shared" si="24"/>
        <v>#DIV/0!</v>
      </c>
      <c r="R302" s="1230">
        <f t="shared" si="24"/>
        <v>2.6268955243388894</v>
      </c>
      <c r="S302" s="1230">
        <f t="shared" si="24"/>
        <v>1.1543251672743817</v>
      </c>
      <c r="T302" s="1230">
        <f t="shared" si="24"/>
        <v>1.1348081774009076</v>
      </c>
      <c r="U302" s="1230" t="e">
        <f t="shared" si="24"/>
        <v>#DIV/0!</v>
      </c>
      <c r="V302" s="1230">
        <f t="shared" si="24"/>
        <v>0.37548770438825096</v>
      </c>
      <c r="W302" s="1230" t="e">
        <f t="shared" si="24"/>
        <v>#DIV/0!</v>
      </c>
      <c r="X302" s="1230" t="e">
        <f t="shared" si="24"/>
        <v>#DIV/0!</v>
      </c>
      <c r="Y302" s="1230">
        <f t="shared" si="24"/>
        <v>0.33486244625596112</v>
      </c>
      <c r="Z302" s="1230">
        <f t="shared" si="24"/>
        <v>1.1578326770931091</v>
      </c>
      <c r="AA302" s="1230">
        <f t="shared" si="24"/>
        <v>1.0602593916675345</v>
      </c>
      <c r="AB302" s="1230">
        <f t="shared" si="24"/>
        <v>0.13036673573390892</v>
      </c>
      <c r="AC302" s="1230" t="e">
        <f t="shared" si="24"/>
        <v>#DIV/0!</v>
      </c>
      <c r="AD302" s="1230">
        <f t="shared" si="24"/>
        <v>0.63787482566248255</v>
      </c>
      <c r="AE302" s="1230">
        <f t="shared" si="24"/>
        <v>1.9736960262407914</v>
      </c>
      <c r="AF302" s="1230">
        <f t="shared" si="24"/>
        <v>0.14518702519830234</v>
      </c>
      <c r="AG302" s="1230">
        <f t="shared" si="24"/>
        <v>1.3309957597502446</v>
      </c>
      <c r="AH302" s="1230" t="e">
        <f t="shared" si="24"/>
        <v>#DIV/0!</v>
      </c>
      <c r="AI302" s="1230" t="e">
        <f t="shared" si="24"/>
        <v>#DIV/0!</v>
      </c>
      <c r="AJ302" s="1230">
        <f t="shared" si="24"/>
        <v>1.9511615715215536</v>
      </c>
      <c r="AK302" s="1230">
        <f t="shared" si="24"/>
        <v>1.0723321557156569</v>
      </c>
      <c r="AL302" s="1230">
        <f t="shared" si="24"/>
        <v>3.4642288763166369</v>
      </c>
      <c r="AM302" s="1230" t="e">
        <f t="shared" si="24"/>
        <v>#DIV/0!</v>
      </c>
      <c r="AN302" s="1230">
        <f t="shared" si="24"/>
        <v>3.9557284325472062</v>
      </c>
      <c r="AO302" s="1230">
        <f t="shared" si="24"/>
        <v>1.019643333293099</v>
      </c>
      <c r="AP302" s="1230">
        <f t="shared" si="24"/>
        <v>0.83340885062679348</v>
      </c>
      <c r="AQ302" s="1230" t="e">
        <f t="shared" si="24"/>
        <v>#DIV/0!</v>
      </c>
      <c r="AR302" s="1230">
        <f t="shared" si="24"/>
        <v>0.60003338714995846</v>
      </c>
      <c r="AS302" s="1230">
        <f t="shared" si="24"/>
        <v>1.2816702321456728</v>
      </c>
      <c r="AT302" s="1230">
        <f t="shared" si="24"/>
        <v>0.76285171876059399</v>
      </c>
      <c r="AU302" s="1230">
        <f t="shared" si="24"/>
        <v>0.45783676026287007</v>
      </c>
      <c r="AV302" s="1230">
        <f t="shared" si="24"/>
        <v>1.5009678522612013</v>
      </c>
      <c r="AW302" s="1230">
        <f t="shared" si="24"/>
        <v>3.5350867033765359</v>
      </c>
      <c r="AX302" s="1230">
        <f t="shared" si="24"/>
        <v>0.46297479239349415</v>
      </c>
      <c r="AY302" s="1230">
        <f t="shared" si="24"/>
        <v>0.58899900867440835</v>
      </c>
      <c r="AZ302" s="1230">
        <f t="shared" si="24"/>
        <v>0.26208565871480433</v>
      </c>
      <c r="BA302" s="1230">
        <f t="shared" si="24"/>
        <v>0.67545636446857338</v>
      </c>
      <c r="BB302" s="1230" t="e">
        <f t="shared" si="24"/>
        <v>#DIV/0!</v>
      </c>
      <c r="BC302" s="1230" t="e">
        <f t="shared" si="24"/>
        <v>#DIV/0!</v>
      </c>
      <c r="BD302" s="1230" t="e">
        <f t="shared" si="24"/>
        <v>#DIV/0!</v>
      </c>
      <c r="BE302" s="1230" t="e">
        <f t="shared" si="24"/>
        <v>#DIV/0!</v>
      </c>
      <c r="BF302" s="1230" t="e">
        <f t="shared" si="24"/>
        <v>#DIV/0!</v>
      </c>
      <c r="BG302" s="1230">
        <f t="shared" si="24"/>
        <v>0</v>
      </c>
      <c r="BH302" s="1230" t="e">
        <f t="shared" si="24"/>
        <v>#DIV/0!</v>
      </c>
      <c r="BI302" s="1230">
        <f t="shared" si="24"/>
        <v>0.46912388179536252</v>
      </c>
      <c r="BJ302" s="1230">
        <f t="shared" si="24"/>
        <v>2.232381328096618</v>
      </c>
      <c r="BK302" s="1230" t="e">
        <f t="shared" si="24"/>
        <v>#DIV/0!</v>
      </c>
      <c r="BL302" s="1230">
        <f t="shared" si="24"/>
        <v>2.1235090492192517</v>
      </c>
      <c r="BM302" s="1230">
        <f t="shared" si="24"/>
        <v>1.35634496219652</v>
      </c>
      <c r="BN302" s="1230" t="e">
        <f t="shared" si="24"/>
        <v>#DIV/0!</v>
      </c>
      <c r="BO302" s="1230">
        <f t="shared" si="24"/>
        <v>0.51054451245834209</v>
      </c>
      <c r="BP302" s="1230">
        <f t="shared" si="24"/>
        <v>3.3359096965543289</v>
      </c>
      <c r="BQ302" s="1230">
        <f t="shared" ref="BQ302:CB302" si="25">+BQ44/(BQ49+BQ115+BQ97-BQ36)</f>
        <v>1.3523165990957171</v>
      </c>
      <c r="BR302" s="1230">
        <f t="shared" si="25"/>
        <v>2.7079238225366784</v>
      </c>
      <c r="BS302" s="1230" t="e">
        <f t="shared" si="25"/>
        <v>#DIV/0!</v>
      </c>
      <c r="BT302" s="1230" t="e">
        <f t="shared" si="25"/>
        <v>#DIV/0!</v>
      </c>
      <c r="BU302" s="1230">
        <f t="shared" si="25"/>
        <v>1.5918222860163225</v>
      </c>
      <c r="BV302" s="1230">
        <f t="shared" si="25"/>
        <v>0.75726303872330603</v>
      </c>
      <c r="BW302" s="1230">
        <f t="shared" si="25"/>
        <v>0.16638435963121198</v>
      </c>
      <c r="BX302" s="1230">
        <f t="shared" si="25"/>
        <v>1.9617085949686037</v>
      </c>
      <c r="BY302" s="1230" t="e">
        <f t="shared" si="25"/>
        <v>#DIV/0!</v>
      </c>
      <c r="BZ302" s="1230" t="e">
        <f t="shared" si="25"/>
        <v>#DIV/0!</v>
      </c>
      <c r="CA302" s="1230">
        <f t="shared" si="25"/>
        <v>1.3461110792686422</v>
      </c>
      <c r="CB302" s="1230" t="e">
        <f t="shared" si="25"/>
        <v>#DIV/0!</v>
      </c>
    </row>
    <row r="303" spans="1:80" x14ac:dyDescent="0.3">
      <c r="A303" s="1231" t="s">
        <v>1817</v>
      </c>
      <c r="B303" s="1231"/>
      <c r="C303" s="1231" t="s">
        <v>1818</v>
      </c>
      <c r="E303" s="269" t="e">
        <f t="shared" ref="E303:BP303" si="26">+(E34-E161)/E35</f>
        <v>#DIV/0!</v>
      </c>
      <c r="F303" s="269" t="e">
        <f t="shared" si="26"/>
        <v>#DIV/0!</v>
      </c>
      <c r="G303" s="269" t="e">
        <f t="shared" si="26"/>
        <v>#DIV/0!</v>
      </c>
      <c r="H303" s="269" t="e">
        <f t="shared" si="26"/>
        <v>#DIV/0!</v>
      </c>
      <c r="I303" s="269" t="e">
        <f t="shared" si="26"/>
        <v>#DIV/0!</v>
      </c>
      <c r="J303" s="269" t="e">
        <f t="shared" si="26"/>
        <v>#DIV/0!</v>
      </c>
      <c r="K303" s="269" t="e">
        <f t="shared" si="26"/>
        <v>#DIV/0!</v>
      </c>
      <c r="L303" s="269" t="e">
        <f t="shared" si="26"/>
        <v>#DIV/0!</v>
      </c>
      <c r="M303" s="269" t="e">
        <f t="shared" si="26"/>
        <v>#DIV/0!</v>
      </c>
      <c r="N303" s="269" t="e">
        <f t="shared" si="26"/>
        <v>#DIV/0!</v>
      </c>
      <c r="O303" s="269" t="e">
        <f t="shared" si="26"/>
        <v>#DIV/0!</v>
      </c>
      <c r="P303" s="269" t="e">
        <f t="shared" si="26"/>
        <v>#DIV/0!</v>
      </c>
      <c r="Q303" s="269" t="e">
        <f t="shared" si="26"/>
        <v>#DIV/0!</v>
      </c>
      <c r="R303" s="269" t="e">
        <f t="shared" si="26"/>
        <v>#DIV/0!</v>
      </c>
      <c r="S303" s="269" t="e">
        <f t="shared" si="26"/>
        <v>#DIV/0!</v>
      </c>
      <c r="T303" s="269">
        <f t="shared" si="26"/>
        <v>6.2065401426680982</v>
      </c>
      <c r="U303" s="269" t="e">
        <f t="shared" si="26"/>
        <v>#DIV/0!</v>
      </c>
      <c r="V303" s="269">
        <f t="shared" si="26"/>
        <v>4.876740594016991</v>
      </c>
      <c r="W303" s="269" t="e">
        <f t="shared" si="26"/>
        <v>#DIV/0!</v>
      </c>
      <c r="X303" s="269" t="e">
        <f t="shared" si="26"/>
        <v>#DIV/0!</v>
      </c>
      <c r="Y303" s="269" t="e">
        <f t="shared" si="26"/>
        <v>#DIV/0!</v>
      </c>
      <c r="Z303" s="269" t="e">
        <f t="shared" si="26"/>
        <v>#DIV/0!</v>
      </c>
      <c r="AA303" s="269">
        <f t="shared" si="26"/>
        <v>2.9330277752314604</v>
      </c>
      <c r="AB303" s="269">
        <f t="shared" si="26"/>
        <v>2.021250109807232</v>
      </c>
      <c r="AC303" s="269" t="e">
        <f t="shared" si="26"/>
        <v>#DIV/0!</v>
      </c>
      <c r="AD303" s="269" t="e">
        <f t="shared" si="26"/>
        <v>#DIV/0!</v>
      </c>
      <c r="AE303" s="269" t="e">
        <f t="shared" si="26"/>
        <v>#DIV/0!</v>
      </c>
      <c r="AF303" s="269">
        <f t="shared" si="26"/>
        <v>2.3656817399235015</v>
      </c>
      <c r="AG303" s="269" t="e">
        <f t="shared" si="26"/>
        <v>#DIV/0!</v>
      </c>
      <c r="AH303" s="269" t="e">
        <f t="shared" si="26"/>
        <v>#DIV/0!</v>
      </c>
      <c r="AI303" s="269" t="e">
        <f t="shared" si="26"/>
        <v>#DIV/0!</v>
      </c>
      <c r="AJ303" s="269" t="e">
        <f t="shared" si="26"/>
        <v>#DIV/0!</v>
      </c>
      <c r="AK303" s="269">
        <f t="shared" si="26"/>
        <v>4.0099334275647136</v>
      </c>
      <c r="AL303" s="269" t="e">
        <f t="shared" si="26"/>
        <v>#DIV/0!</v>
      </c>
      <c r="AM303" s="269" t="e">
        <f t="shared" si="26"/>
        <v>#DIV/0!</v>
      </c>
      <c r="AN303" s="269" t="e">
        <f t="shared" si="26"/>
        <v>#DIV/0!</v>
      </c>
      <c r="AO303" s="269" t="e">
        <f t="shared" si="26"/>
        <v>#DIV/0!</v>
      </c>
      <c r="AP303" s="269" t="e">
        <f t="shared" si="26"/>
        <v>#DIV/0!</v>
      </c>
      <c r="AQ303" s="269" t="e">
        <f t="shared" si="26"/>
        <v>#DIV/0!</v>
      </c>
      <c r="AR303" s="269">
        <f t="shared" si="26"/>
        <v>3.4799720947302433</v>
      </c>
      <c r="AS303" s="269" t="e">
        <f t="shared" si="26"/>
        <v>#DIV/0!</v>
      </c>
      <c r="AT303" s="269" t="e">
        <f t="shared" si="26"/>
        <v>#DIV/0!</v>
      </c>
      <c r="AU303" s="269" t="e">
        <f t="shared" si="26"/>
        <v>#DIV/0!</v>
      </c>
      <c r="AV303" s="269">
        <f t="shared" si="26"/>
        <v>5.7590855666703611</v>
      </c>
      <c r="AW303" s="269" t="e">
        <f t="shared" si="26"/>
        <v>#DIV/0!</v>
      </c>
      <c r="AX303" s="269" t="e">
        <f t="shared" si="26"/>
        <v>#DIV/0!</v>
      </c>
      <c r="AY303" s="269" t="e">
        <f t="shared" si="26"/>
        <v>#DIV/0!</v>
      </c>
      <c r="AZ303" s="269" t="e">
        <f t="shared" si="26"/>
        <v>#DIV/0!</v>
      </c>
      <c r="BA303" s="269">
        <f t="shared" si="26"/>
        <v>4.9920924085252434</v>
      </c>
      <c r="BB303" s="269" t="e">
        <f t="shared" si="26"/>
        <v>#DIV/0!</v>
      </c>
      <c r="BC303" s="269" t="e">
        <f t="shared" si="26"/>
        <v>#DIV/0!</v>
      </c>
      <c r="BD303" s="269" t="e">
        <f t="shared" si="26"/>
        <v>#DIV/0!</v>
      </c>
      <c r="BE303" s="269" t="e">
        <f t="shared" si="26"/>
        <v>#DIV/0!</v>
      </c>
      <c r="BF303" s="269" t="e">
        <f t="shared" si="26"/>
        <v>#DIV/0!</v>
      </c>
      <c r="BG303" s="269">
        <f t="shared" si="26"/>
        <v>13.660073950048835</v>
      </c>
      <c r="BH303" s="269" t="e">
        <f t="shared" si="26"/>
        <v>#DIV/0!</v>
      </c>
      <c r="BI303" s="269" t="e">
        <f t="shared" si="26"/>
        <v>#DIV/0!</v>
      </c>
      <c r="BJ303" s="269" t="e">
        <f t="shared" si="26"/>
        <v>#DIV/0!</v>
      </c>
      <c r="BK303" s="269" t="e">
        <f t="shared" si="26"/>
        <v>#DIV/0!</v>
      </c>
      <c r="BL303" s="269">
        <f t="shared" si="26"/>
        <v>12.924502647283015</v>
      </c>
      <c r="BM303" s="269" t="e">
        <f t="shared" si="26"/>
        <v>#DIV/0!</v>
      </c>
      <c r="BN303" s="269" t="e">
        <f t="shared" si="26"/>
        <v>#DIV/0!</v>
      </c>
      <c r="BO303" s="269" t="e">
        <f t="shared" si="26"/>
        <v>#DIV/0!</v>
      </c>
      <c r="BP303" s="269" t="e">
        <f t="shared" si="26"/>
        <v>#DIV/0!</v>
      </c>
      <c r="BQ303" s="269" t="e">
        <f t="shared" ref="BQ303:CB303" si="27">+(BQ34-BQ161)/BQ35</f>
        <v>#DIV/0!</v>
      </c>
      <c r="BR303" s="269" t="e">
        <f t="shared" si="27"/>
        <v>#DIV/0!</v>
      </c>
      <c r="BS303" s="269" t="e">
        <f t="shared" si="27"/>
        <v>#DIV/0!</v>
      </c>
      <c r="BT303" s="269" t="e">
        <f t="shared" si="27"/>
        <v>#DIV/0!</v>
      </c>
      <c r="BU303" s="269" t="e">
        <f t="shared" si="27"/>
        <v>#DIV/0!</v>
      </c>
      <c r="BV303" s="269" t="e">
        <f t="shared" si="27"/>
        <v>#DIV/0!</v>
      </c>
      <c r="BW303" s="269" t="e">
        <f t="shared" si="27"/>
        <v>#DIV/0!</v>
      </c>
      <c r="BX303" s="269" t="e">
        <f t="shared" si="27"/>
        <v>#DIV/0!</v>
      </c>
      <c r="BY303" s="269" t="e">
        <f t="shared" si="27"/>
        <v>#DIV/0!</v>
      </c>
      <c r="BZ303" s="269" t="e">
        <f t="shared" si="27"/>
        <v>#DIV/0!</v>
      </c>
      <c r="CA303" s="269" t="e">
        <f t="shared" si="27"/>
        <v>#DIV/0!</v>
      </c>
      <c r="CB303" s="269" t="e">
        <f t="shared" si="27"/>
        <v>#DIV/0!</v>
      </c>
    </row>
    <row r="304" spans="1:80" x14ac:dyDescent="0.3">
      <c r="A304" s="1231" t="s">
        <v>1190</v>
      </c>
      <c r="B304" s="1231"/>
      <c r="C304" s="1231" t="s">
        <v>1819</v>
      </c>
      <c r="E304" s="1138">
        <f t="shared" ref="E304:BP304" si="28">+E55-E56+E39-E60</f>
        <v>0</v>
      </c>
      <c r="F304" s="1138">
        <f t="shared" si="28"/>
        <v>0</v>
      </c>
      <c r="G304" s="1138">
        <f t="shared" si="28"/>
        <v>0</v>
      </c>
      <c r="H304" s="1138">
        <f t="shared" si="28"/>
        <v>0</v>
      </c>
      <c r="I304" s="1138">
        <f t="shared" si="28"/>
        <v>0</v>
      </c>
      <c r="J304" s="1138">
        <f t="shared" si="28"/>
        <v>0</v>
      </c>
      <c r="K304" s="1138">
        <f t="shared" si="28"/>
        <v>0</v>
      </c>
      <c r="L304" s="1138">
        <f t="shared" si="28"/>
        <v>0</v>
      </c>
      <c r="M304" s="1138">
        <f t="shared" si="28"/>
        <v>0</v>
      </c>
      <c r="N304" s="1138">
        <f t="shared" si="28"/>
        <v>0</v>
      </c>
      <c r="O304" s="1138">
        <f t="shared" si="28"/>
        <v>0</v>
      </c>
      <c r="P304" s="1138">
        <f t="shared" si="28"/>
        <v>0</v>
      </c>
      <c r="Q304" s="1138">
        <f t="shared" si="28"/>
        <v>0</v>
      </c>
      <c r="R304" s="1138">
        <f t="shared" si="28"/>
        <v>0</v>
      </c>
      <c r="S304" s="1138">
        <f t="shared" si="28"/>
        <v>0</v>
      </c>
      <c r="T304" s="1138">
        <f t="shared" si="28"/>
        <v>3853551</v>
      </c>
      <c r="U304" s="1138">
        <f t="shared" si="28"/>
        <v>0</v>
      </c>
      <c r="V304" s="1138">
        <f t="shared" si="28"/>
        <v>9062279</v>
      </c>
      <c r="W304" s="1138">
        <f t="shared" si="28"/>
        <v>0</v>
      </c>
      <c r="X304" s="1138">
        <f t="shared" si="28"/>
        <v>0</v>
      </c>
      <c r="Y304" s="1138">
        <f t="shared" si="28"/>
        <v>0</v>
      </c>
      <c r="Z304" s="1138">
        <f t="shared" si="28"/>
        <v>0</v>
      </c>
      <c r="AA304" s="1138">
        <f t="shared" si="28"/>
        <v>65876</v>
      </c>
      <c r="AB304" s="1138">
        <f t="shared" si="28"/>
        <v>709221</v>
      </c>
      <c r="AC304" s="1138">
        <f t="shared" si="28"/>
        <v>0</v>
      </c>
      <c r="AD304" s="1138">
        <f t="shared" si="28"/>
        <v>0</v>
      </c>
      <c r="AE304" s="1138">
        <f t="shared" si="28"/>
        <v>0</v>
      </c>
      <c r="AF304" s="1138">
        <f t="shared" si="28"/>
        <v>587269</v>
      </c>
      <c r="AG304" s="1138">
        <f t="shared" si="28"/>
        <v>0</v>
      </c>
      <c r="AH304" s="1138">
        <f t="shared" si="28"/>
        <v>0</v>
      </c>
      <c r="AI304" s="1138">
        <f t="shared" si="28"/>
        <v>0</v>
      </c>
      <c r="AJ304" s="1138">
        <f t="shared" si="28"/>
        <v>0</v>
      </c>
      <c r="AK304" s="1138">
        <f t="shared" si="28"/>
        <v>1760354</v>
      </c>
      <c r="AL304" s="1138">
        <f t="shared" si="28"/>
        <v>0</v>
      </c>
      <c r="AM304" s="1138">
        <f t="shared" si="28"/>
        <v>0</v>
      </c>
      <c r="AN304" s="1138">
        <f t="shared" si="28"/>
        <v>0</v>
      </c>
      <c r="AO304" s="1138">
        <f t="shared" si="28"/>
        <v>0</v>
      </c>
      <c r="AP304" s="1138">
        <f t="shared" si="28"/>
        <v>0</v>
      </c>
      <c r="AQ304" s="1138">
        <f t="shared" si="28"/>
        <v>0</v>
      </c>
      <c r="AR304" s="1138">
        <f t="shared" si="28"/>
        <v>4572085</v>
      </c>
      <c r="AS304" s="1138">
        <f t="shared" si="28"/>
        <v>0</v>
      </c>
      <c r="AT304" s="1138">
        <f t="shared" si="28"/>
        <v>0</v>
      </c>
      <c r="AU304" s="1138">
        <f t="shared" si="28"/>
        <v>0</v>
      </c>
      <c r="AV304" s="1138">
        <f t="shared" si="28"/>
        <v>913818</v>
      </c>
      <c r="AW304" s="1138">
        <f t="shared" si="28"/>
        <v>0</v>
      </c>
      <c r="AX304" s="1138">
        <f t="shared" si="28"/>
        <v>0</v>
      </c>
      <c r="AY304" s="1138">
        <f t="shared" si="28"/>
        <v>0</v>
      </c>
      <c r="AZ304" s="1138">
        <f t="shared" si="28"/>
        <v>0</v>
      </c>
      <c r="BA304" s="1138">
        <f t="shared" si="28"/>
        <v>552919</v>
      </c>
      <c r="BB304" s="1138">
        <f t="shared" si="28"/>
        <v>0</v>
      </c>
      <c r="BC304" s="1138">
        <f t="shared" si="28"/>
        <v>0</v>
      </c>
      <c r="BD304" s="1138">
        <f t="shared" si="28"/>
        <v>0</v>
      </c>
      <c r="BE304" s="1138">
        <f t="shared" si="28"/>
        <v>0</v>
      </c>
      <c r="BF304" s="1138">
        <f t="shared" si="28"/>
        <v>0</v>
      </c>
      <c r="BG304" s="1138">
        <f t="shared" si="28"/>
        <v>-12217</v>
      </c>
      <c r="BH304" s="1138">
        <f t="shared" si="28"/>
        <v>0</v>
      </c>
      <c r="BI304" s="1138">
        <f t="shared" si="28"/>
        <v>0</v>
      </c>
      <c r="BJ304" s="1138">
        <f t="shared" si="28"/>
        <v>0</v>
      </c>
      <c r="BK304" s="1138">
        <f t="shared" si="28"/>
        <v>0</v>
      </c>
      <c r="BL304" s="1138">
        <f t="shared" si="28"/>
        <v>407764</v>
      </c>
      <c r="BM304" s="1138">
        <f t="shared" si="28"/>
        <v>0</v>
      </c>
      <c r="BN304" s="1138">
        <f t="shared" si="28"/>
        <v>0</v>
      </c>
      <c r="BO304" s="1138">
        <f t="shared" si="28"/>
        <v>0</v>
      </c>
      <c r="BP304" s="1138">
        <f t="shared" si="28"/>
        <v>0</v>
      </c>
      <c r="BQ304" s="1138">
        <f t="shared" ref="BQ304:CB304" si="29">+BQ55-BQ56+BQ39-BQ60</f>
        <v>0</v>
      </c>
      <c r="BR304" s="1138">
        <f t="shared" si="29"/>
        <v>0</v>
      </c>
      <c r="BS304" s="1138">
        <f t="shared" si="29"/>
        <v>0</v>
      </c>
      <c r="BT304" s="1138">
        <f t="shared" si="29"/>
        <v>0</v>
      </c>
      <c r="BU304" s="1138">
        <f t="shared" si="29"/>
        <v>0</v>
      </c>
      <c r="BV304" s="1138">
        <f t="shared" si="29"/>
        <v>0</v>
      </c>
      <c r="BW304" s="1138">
        <f t="shared" si="29"/>
        <v>0</v>
      </c>
      <c r="BX304" s="1138">
        <f t="shared" si="29"/>
        <v>0</v>
      </c>
      <c r="BY304" s="1138">
        <f t="shared" si="29"/>
        <v>0</v>
      </c>
      <c r="BZ304" s="1138">
        <f t="shared" si="29"/>
        <v>0</v>
      </c>
      <c r="CA304" s="1138">
        <f t="shared" si="29"/>
        <v>0</v>
      </c>
      <c r="CB304" s="1138">
        <f t="shared" si="29"/>
        <v>0</v>
      </c>
    </row>
    <row r="305" spans="1:80" x14ac:dyDescent="0.3">
      <c r="A305" s="1231" t="s">
        <v>1820</v>
      </c>
      <c r="B305" s="1231"/>
      <c r="C305" s="1231" t="s">
        <v>1202</v>
      </c>
      <c r="E305" s="269" t="e">
        <f t="shared" ref="E305:BP305" si="30">+E52/(E125+E56-E39+E60)</f>
        <v>#DIV/0!</v>
      </c>
      <c r="F305" s="269" t="e">
        <f t="shared" si="30"/>
        <v>#DIV/0!</v>
      </c>
      <c r="G305" s="269" t="e">
        <f t="shared" si="30"/>
        <v>#DIV/0!</v>
      </c>
      <c r="H305" s="269" t="e">
        <f t="shared" si="30"/>
        <v>#DIV/0!</v>
      </c>
      <c r="I305" s="269" t="e">
        <f t="shared" si="30"/>
        <v>#DIV/0!</v>
      </c>
      <c r="J305" s="269" t="e">
        <f t="shared" si="30"/>
        <v>#DIV/0!</v>
      </c>
      <c r="K305" s="269" t="e">
        <f t="shared" si="30"/>
        <v>#DIV/0!</v>
      </c>
      <c r="L305" s="269" t="e">
        <f t="shared" si="30"/>
        <v>#DIV/0!</v>
      </c>
      <c r="M305" s="269" t="e">
        <f t="shared" si="30"/>
        <v>#DIV/0!</v>
      </c>
      <c r="N305" s="269" t="e">
        <f t="shared" si="30"/>
        <v>#DIV/0!</v>
      </c>
      <c r="O305" s="269" t="e">
        <f t="shared" si="30"/>
        <v>#DIV/0!</v>
      </c>
      <c r="P305" s="269" t="e">
        <f t="shared" si="30"/>
        <v>#DIV/0!</v>
      </c>
      <c r="Q305" s="269" t="e">
        <f t="shared" si="30"/>
        <v>#DIV/0!</v>
      </c>
      <c r="R305" s="269" t="e">
        <f t="shared" si="30"/>
        <v>#DIV/0!</v>
      </c>
      <c r="S305" s="269" t="e">
        <f t="shared" si="30"/>
        <v>#DIV/0!</v>
      </c>
      <c r="T305" s="269">
        <f t="shared" si="30"/>
        <v>0.29503104209818265</v>
      </c>
      <c r="U305" s="269" t="e">
        <f t="shared" si="30"/>
        <v>#DIV/0!</v>
      </c>
      <c r="V305" s="269">
        <f t="shared" si="30"/>
        <v>0.51485991200642456</v>
      </c>
      <c r="W305" s="269" t="e">
        <f t="shared" si="30"/>
        <v>#DIV/0!</v>
      </c>
      <c r="X305" s="269" t="e">
        <f t="shared" si="30"/>
        <v>#DIV/0!</v>
      </c>
      <c r="Y305" s="269" t="e">
        <f t="shared" si="30"/>
        <v>#DIV/0!</v>
      </c>
      <c r="Z305" s="269" t="e">
        <f t="shared" si="30"/>
        <v>#DIV/0!</v>
      </c>
      <c r="AA305" s="269">
        <f t="shared" si="30"/>
        <v>0.20333020450892456</v>
      </c>
      <c r="AB305" s="269">
        <f t="shared" si="30"/>
        <v>2.462147983818348</v>
      </c>
      <c r="AC305" s="269" t="e">
        <f t="shared" si="30"/>
        <v>#DIV/0!</v>
      </c>
      <c r="AD305" s="269" t="e">
        <f t="shared" si="30"/>
        <v>#DIV/0!</v>
      </c>
      <c r="AE305" s="269" t="e">
        <f t="shared" si="30"/>
        <v>#DIV/0!</v>
      </c>
      <c r="AF305" s="269">
        <f t="shared" si="30"/>
        <v>5.8504500074973827E-2</v>
      </c>
      <c r="AG305" s="269" t="e">
        <f t="shared" si="30"/>
        <v>#DIV/0!</v>
      </c>
      <c r="AH305" s="269" t="e">
        <f t="shared" si="30"/>
        <v>#DIV/0!</v>
      </c>
      <c r="AI305" s="269" t="e">
        <f t="shared" si="30"/>
        <v>#DIV/0!</v>
      </c>
      <c r="AJ305" s="269" t="e">
        <f t="shared" si="30"/>
        <v>#DIV/0!</v>
      </c>
      <c r="AK305" s="269">
        <f t="shared" si="30"/>
        <v>0.2641791269722743</v>
      </c>
      <c r="AL305" s="269" t="e">
        <f t="shared" si="30"/>
        <v>#DIV/0!</v>
      </c>
      <c r="AM305" s="269" t="e">
        <f t="shared" si="30"/>
        <v>#DIV/0!</v>
      </c>
      <c r="AN305" s="269" t="e">
        <f t="shared" si="30"/>
        <v>#DIV/0!</v>
      </c>
      <c r="AO305" s="269" t="e">
        <f t="shared" si="30"/>
        <v>#DIV/0!</v>
      </c>
      <c r="AP305" s="269" t="e">
        <f t="shared" si="30"/>
        <v>#DIV/0!</v>
      </c>
      <c r="AQ305" s="269" t="e">
        <f t="shared" si="30"/>
        <v>#DIV/0!</v>
      </c>
      <c r="AR305" s="269">
        <f t="shared" si="30"/>
        <v>0.25917073456578704</v>
      </c>
      <c r="AS305" s="269" t="e">
        <f t="shared" si="30"/>
        <v>#DIV/0!</v>
      </c>
      <c r="AT305" s="269" t="e">
        <f t="shared" si="30"/>
        <v>#DIV/0!</v>
      </c>
      <c r="AU305" s="269" t="e">
        <f t="shared" si="30"/>
        <v>#DIV/0!</v>
      </c>
      <c r="AV305" s="269">
        <f t="shared" si="30"/>
        <v>0.47868889094277522</v>
      </c>
      <c r="AW305" s="269" t="e">
        <f t="shared" si="30"/>
        <v>#DIV/0!</v>
      </c>
      <c r="AX305" s="269" t="e">
        <f t="shared" si="30"/>
        <v>#DIV/0!</v>
      </c>
      <c r="AY305" s="269" t="e">
        <f t="shared" si="30"/>
        <v>#DIV/0!</v>
      </c>
      <c r="AZ305" s="269" t="e">
        <f t="shared" si="30"/>
        <v>#DIV/0!</v>
      </c>
      <c r="BA305" s="269">
        <f t="shared" si="30"/>
        <v>0.2931422031367294</v>
      </c>
      <c r="BB305" s="269" t="e">
        <f t="shared" si="30"/>
        <v>#DIV/0!</v>
      </c>
      <c r="BC305" s="269" t="e">
        <f t="shared" si="30"/>
        <v>#DIV/0!</v>
      </c>
      <c r="BD305" s="269" t="e">
        <f t="shared" si="30"/>
        <v>#DIV/0!</v>
      </c>
      <c r="BE305" s="269" t="e">
        <f t="shared" si="30"/>
        <v>#DIV/0!</v>
      </c>
      <c r="BF305" s="269" t="e">
        <f t="shared" si="30"/>
        <v>#DIV/0!</v>
      </c>
      <c r="BG305" s="269">
        <f t="shared" si="30"/>
        <v>0.56779527244180006</v>
      </c>
      <c r="BH305" s="269" t="e">
        <f t="shared" si="30"/>
        <v>#DIV/0!</v>
      </c>
      <c r="BI305" s="269" t="e">
        <f t="shared" si="30"/>
        <v>#DIV/0!</v>
      </c>
      <c r="BJ305" s="269" t="e">
        <f t="shared" si="30"/>
        <v>#DIV/0!</v>
      </c>
      <c r="BK305" s="269" t="e">
        <f t="shared" si="30"/>
        <v>#DIV/0!</v>
      </c>
      <c r="BL305" s="269">
        <f t="shared" si="30"/>
        <v>0.17685576446397666</v>
      </c>
      <c r="BM305" s="269" t="e">
        <f t="shared" si="30"/>
        <v>#DIV/0!</v>
      </c>
      <c r="BN305" s="269" t="e">
        <f t="shared" si="30"/>
        <v>#DIV/0!</v>
      </c>
      <c r="BO305" s="269" t="e">
        <f t="shared" si="30"/>
        <v>#DIV/0!</v>
      </c>
      <c r="BP305" s="269" t="e">
        <f t="shared" si="30"/>
        <v>#DIV/0!</v>
      </c>
      <c r="BQ305" s="269" t="e">
        <f t="shared" ref="BQ305:CB305" si="31">+BQ52/(BQ125+BQ56-BQ39+BQ60)</f>
        <v>#DIV/0!</v>
      </c>
      <c r="BR305" s="269" t="e">
        <f t="shared" si="31"/>
        <v>#DIV/0!</v>
      </c>
      <c r="BS305" s="269" t="e">
        <f t="shared" si="31"/>
        <v>#DIV/0!</v>
      </c>
      <c r="BT305" s="269" t="e">
        <f t="shared" si="31"/>
        <v>#DIV/0!</v>
      </c>
      <c r="BU305" s="269" t="e">
        <f t="shared" si="31"/>
        <v>#DIV/0!</v>
      </c>
      <c r="BV305" s="269" t="e">
        <f t="shared" si="31"/>
        <v>#DIV/0!</v>
      </c>
      <c r="BW305" s="269" t="e">
        <f t="shared" si="31"/>
        <v>#DIV/0!</v>
      </c>
      <c r="BX305" s="269" t="e">
        <f t="shared" si="31"/>
        <v>#DIV/0!</v>
      </c>
      <c r="BY305" s="269" t="e">
        <f t="shared" si="31"/>
        <v>#DIV/0!</v>
      </c>
      <c r="BZ305" s="269" t="e">
        <f t="shared" si="31"/>
        <v>#DIV/0!</v>
      </c>
      <c r="CA305" s="269" t="e">
        <f t="shared" si="31"/>
        <v>#DIV/0!</v>
      </c>
      <c r="CB305" s="269" t="e">
        <f t="shared" si="31"/>
        <v>#DIV/0!</v>
      </c>
    </row>
  </sheetData>
  <sheetProtection algorithmName="SHA-512" hashValue="FalKVSxLpy+v6NAWatfm0aSRVr3yLyi5uWRq6fLpXO02aKORRT4hSTq/MRuO9DyND2jOwhduvFF1FQmNiDcREw==" saltValue="Ek1oKwhF3hninXVLvbLW+A==" spinCount="100000" sheet="1" objects="1" scenarios="1"/>
  <pageMargins left="0.7" right="0.7" top="0.75" bottom="0.75" header="0.3" footer="0.3"/>
  <pageSetup orientation="portrait" r:id="rId1"/>
  <ignoredErrors>
    <ignoredError sqref="E296:E305"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V77"/>
  <sheetViews>
    <sheetView workbookViewId="0">
      <selection activeCell="D1" sqref="D1"/>
    </sheetView>
  </sheetViews>
  <sheetFormatPr defaultColWidth="9.109375" defaultRowHeight="14.4" x14ac:dyDescent="0.3"/>
  <cols>
    <col min="1" max="1" width="28.5546875" style="737" customWidth="1"/>
    <col min="2" max="12" width="9.109375" style="737"/>
    <col min="13" max="13" width="9.109375" style="1237"/>
    <col min="14" max="16384" width="9.109375" style="737"/>
  </cols>
  <sheetData>
    <row r="1" spans="1:21" x14ac:dyDescent="0.3">
      <c r="A1" s="737" t="s">
        <v>1700</v>
      </c>
      <c r="M1" s="1236" t="s">
        <v>1822</v>
      </c>
      <c r="N1" s="269"/>
      <c r="O1" s="269"/>
      <c r="P1" s="269"/>
      <c r="Q1" s="269"/>
      <c r="R1" s="269" t="s">
        <v>1823</v>
      </c>
      <c r="S1" s="269"/>
      <c r="T1" s="269"/>
      <c r="U1" s="269"/>
    </row>
    <row r="2" spans="1:21" ht="15" thickBot="1" x14ac:dyDescent="0.35">
      <c r="A2" s="1135" t="s">
        <v>843</v>
      </c>
      <c r="B2" s="1136">
        <v>50476</v>
      </c>
      <c r="C2" s="723"/>
      <c r="D2" s="56"/>
      <c r="E2" s="56"/>
      <c r="G2" s="737">
        <v>100</v>
      </c>
      <c r="I2" s="737" t="s">
        <v>614</v>
      </c>
      <c r="M2" s="1159" t="s">
        <v>843</v>
      </c>
      <c r="N2" s="1159">
        <v>50476</v>
      </c>
      <c r="O2" s="269" t="b">
        <f>EXACT(A2,M2)</f>
        <v>1</v>
      </c>
      <c r="P2" s="269" t="b">
        <f>EXACT(B2,N2)</f>
        <v>1</v>
      </c>
      <c r="Q2" s="269"/>
      <c r="R2" s="1002" t="s">
        <v>843</v>
      </c>
      <c r="S2" s="1002">
        <v>50476</v>
      </c>
      <c r="T2" s="269" t="b">
        <f>EXACT(M2,R2)</f>
        <v>1</v>
      </c>
      <c r="U2" s="269" t="b">
        <f>EXACT(N2,S2)</f>
        <v>1</v>
      </c>
    </row>
    <row r="3" spans="1:21" ht="15" customHeight="1" thickBot="1" x14ac:dyDescent="0.35">
      <c r="A3" s="1137" t="s">
        <v>844</v>
      </c>
      <c r="B3" s="1136">
        <v>50191</v>
      </c>
      <c r="C3" s="723"/>
      <c r="D3" s="55"/>
      <c r="E3" s="56"/>
      <c r="G3" s="737">
        <v>200</v>
      </c>
      <c r="I3" s="737" t="s">
        <v>615</v>
      </c>
      <c r="M3" s="1159" t="s">
        <v>844</v>
      </c>
      <c r="N3" s="1159">
        <v>50191</v>
      </c>
      <c r="O3" s="269" t="b">
        <f t="shared" ref="O3:O66" si="0">EXACT(A3,M3)</f>
        <v>1</v>
      </c>
      <c r="P3" s="269" t="b">
        <f t="shared" ref="P3:P66" si="1">EXACT(B3,N3)</f>
        <v>1</v>
      </c>
      <c r="R3" s="1002" t="s">
        <v>844</v>
      </c>
      <c r="S3" s="1002">
        <v>50191</v>
      </c>
      <c r="T3" s="269" t="b">
        <f t="shared" ref="T3:T66" si="2">EXACT(M3,R3)</f>
        <v>1</v>
      </c>
      <c r="U3" s="269" t="b">
        <f t="shared" ref="U3:U66" si="3">EXACT(N3,S3)</f>
        <v>1</v>
      </c>
    </row>
    <row r="4" spans="1:21" ht="15" customHeight="1" thickBot="1" x14ac:dyDescent="0.35">
      <c r="A4" s="1137" t="s">
        <v>845</v>
      </c>
      <c r="B4" s="1136">
        <v>50192</v>
      </c>
      <c r="C4" s="723"/>
      <c r="D4" s="55"/>
      <c r="E4" s="56"/>
      <c r="G4" s="737">
        <v>300</v>
      </c>
      <c r="I4" s="737" t="s">
        <v>616</v>
      </c>
      <c r="M4" s="1159" t="e">
        <v>#N/A</v>
      </c>
      <c r="N4" s="1159">
        <v>50192</v>
      </c>
      <c r="O4" s="269" t="e">
        <f t="shared" si="0"/>
        <v>#N/A</v>
      </c>
      <c r="P4" s="269" t="b">
        <f t="shared" si="1"/>
        <v>1</v>
      </c>
      <c r="R4" s="1002" t="s">
        <v>845</v>
      </c>
      <c r="S4" s="1002">
        <v>50192</v>
      </c>
      <c r="T4" s="269" t="e">
        <f t="shared" si="2"/>
        <v>#N/A</v>
      </c>
      <c r="U4" s="269" t="b">
        <f t="shared" si="3"/>
        <v>1</v>
      </c>
    </row>
    <row r="5" spans="1:21" ht="15" thickBot="1" x14ac:dyDescent="0.35">
      <c r="A5" s="1137" t="s">
        <v>846</v>
      </c>
      <c r="B5" s="1136">
        <v>50193</v>
      </c>
      <c r="C5" s="723"/>
      <c r="D5" s="55"/>
      <c r="E5" s="56"/>
      <c r="G5" s="737">
        <v>400</v>
      </c>
      <c r="M5" s="1159" t="s">
        <v>846</v>
      </c>
      <c r="N5" s="1159">
        <v>50193</v>
      </c>
      <c r="O5" s="269" t="b">
        <f t="shared" si="0"/>
        <v>1</v>
      </c>
      <c r="P5" s="269" t="b">
        <f t="shared" si="1"/>
        <v>1</v>
      </c>
      <c r="R5" s="1002" t="s">
        <v>846</v>
      </c>
      <c r="S5" s="1002">
        <v>50193</v>
      </c>
      <c r="T5" s="269" t="b">
        <f t="shared" si="2"/>
        <v>1</v>
      </c>
      <c r="U5" s="269" t="b">
        <f t="shared" si="3"/>
        <v>1</v>
      </c>
    </row>
    <row r="6" spans="1:21" ht="15" thickBot="1" x14ac:dyDescent="0.35">
      <c r="A6" s="1137" t="s">
        <v>847</v>
      </c>
      <c r="B6" s="1136">
        <v>50194</v>
      </c>
      <c r="C6" s="723"/>
      <c r="D6" s="55"/>
      <c r="E6" s="56"/>
      <c r="G6" s="737">
        <v>500</v>
      </c>
      <c r="M6" s="1159" t="s">
        <v>847</v>
      </c>
      <c r="N6" s="1159">
        <v>50194</v>
      </c>
      <c r="O6" s="269" t="b">
        <f t="shared" si="0"/>
        <v>1</v>
      </c>
      <c r="P6" s="269" t="b">
        <f t="shared" si="1"/>
        <v>1</v>
      </c>
      <c r="R6" s="1002" t="s">
        <v>847</v>
      </c>
      <c r="S6" s="1002">
        <v>50194</v>
      </c>
      <c r="T6" s="269" t="b">
        <f t="shared" si="2"/>
        <v>1</v>
      </c>
      <c r="U6" s="269" t="b">
        <f t="shared" si="3"/>
        <v>1</v>
      </c>
    </row>
    <row r="7" spans="1:21" ht="15" thickBot="1" x14ac:dyDescent="0.35">
      <c r="A7" s="1137" t="s">
        <v>848</v>
      </c>
      <c r="B7" s="1136">
        <v>50195</v>
      </c>
      <c r="C7" s="723"/>
      <c r="D7" s="55"/>
      <c r="E7" s="56"/>
      <c r="M7" s="1159" t="s">
        <v>848</v>
      </c>
      <c r="N7" s="1159">
        <v>50195</v>
      </c>
      <c r="O7" s="269" t="b">
        <f t="shared" si="0"/>
        <v>1</v>
      </c>
      <c r="P7" s="269" t="b">
        <f t="shared" si="1"/>
        <v>1</v>
      </c>
      <c r="R7" s="1002" t="s">
        <v>848</v>
      </c>
      <c r="S7" s="1002">
        <v>50195</v>
      </c>
      <c r="T7" s="269" t="b">
        <f t="shared" si="2"/>
        <v>1</v>
      </c>
      <c r="U7" s="269" t="b">
        <f t="shared" si="3"/>
        <v>1</v>
      </c>
    </row>
    <row r="8" spans="1:21" ht="15" thickBot="1" x14ac:dyDescent="0.35">
      <c r="A8" s="1137" t="s">
        <v>849</v>
      </c>
      <c r="B8" s="1136">
        <v>50196</v>
      </c>
      <c r="C8" s="723"/>
      <c r="D8" s="55"/>
      <c r="E8" s="56"/>
      <c r="M8" s="1159" t="s">
        <v>849</v>
      </c>
      <c r="N8" s="1159">
        <v>50196</v>
      </c>
      <c r="O8" s="269" t="b">
        <f t="shared" si="0"/>
        <v>1</v>
      </c>
      <c r="P8" s="269" t="b">
        <f t="shared" si="1"/>
        <v>1</v>
      </c>
      <c r="R8" s="1002" t="s">
        <v>849</v>
      </c>
      <c r="S8" s="1002">
        <v>50196</v>
      </c>
      <c r="T8" s="269" t="b">
        <f t="shared" si="2"/>
        <v>1</v>
      </c>
      <c r="U8" s="269" t="b">
        <f t="shared" si="3"/>
        <v>1</v>
      </c>
    </row>
    <row r="9" spans="1:21" ht="15" thickBot="1" x14ac:dyDescent="0.35">
      <c r="A9" s="1137" t="s">
        <v>850</v>
      </c>
      <c r="B9" s="1136">
        <v>50197</v>
      </c>
      <c r="C9" s="723"/>
      <c r="D9" s="55"/>
      <c r="E9" s="56"/>
      <c r="M9" s="1159" t="s">
        <v>850</v>
      </c>
      <c r="N9" s="1158">
        <v>50197</v>
      </c>
      <c r="O9" s="269" t="b">
        <f t="shared" si="0"/>
        <v>1</v>
      </c>
      <c r="P9" s="269" t="b">
        <f t="shared" si="1"/>
        <v>1</v>
      </c>
      <c r="R9" s="1002" t="s">
        <v>850</v>
      </c>
      <c r="S9" s="1002">
        <v>50197</v>
      </c>
      <c r="T9" s="269" t="b">
        <f t="shared" si="2"/>
        <v>1</v>
      </c>
      <c r="U9" s="269" t="b">
        <f t="shared" si="3"/>
        <v>1</v>
      </c>
    </row>
    <row r="10" spans="1:21" ht="15" thickBot="1" x14ac:dyDescent="0.35">
      <c r="A10" s="1137" t="s">
        <v>851</v>
      </c>
      <c r="B10" s="1136">
        <v>50498</v>
      </c>
      <c r="C10" s="723"/>
      <c r="D10" s="55"/>
      <c r="E10" s="56"/>
      <c r="M10" s="1159" t="s">
        <v>851</v>
      </c>
      <c r="N10" s="1160">
        <v>50498</v>
      </c>
      <c r="O10" s="269" t="b">
        <f t="shared" si="0"/>
        <v>1</v>
      </c>
      <c r="P10" s="269" t="b">
        <f t="shared" si="1"/>
        <v>1</v>
      </c>
      <c r="R10" s="1002" t="s">
        <v>851</v>
      </c>
      <c r="S10" s="269">
        <v>50498</v>
      </c>
      <c r="T10" s="269" t="b">
        <f t="shared" si="2"/>
        <v>1</v>
      </c>
      <c r="U10" s="269" t="b">
        <f t="shared" si="3"/>
        <v>1</v>
      </c>
    </row>
    <row r="11" spans="1:21" ht="15" thickBot="1" x14ac:dyDescent="0.35">
      <c r="A11" s="1137" t="s">
        <v>852</v>
      </c>
      <c r="B11" s="1136">
        <v>50198</v>
      </c>
      <c r="C11" s="723"/>
      <c r="D11" s="55"/>
      <c r="E11" s="56"/>
      <c r="M11" s="1159" t="s">
        <v>852</v>
      </c>
      <c r="N11" s="1158">
        <v>50198</v>
      </c>
      <c r="O11" s="269" t="b">
        <f t="shared" si="0"/>
        <v>1</v>
      </c>
      <c r="P11" s="269" t="b">
        <f t="shared" si="1"/>
        <v>1</v>
      </c>
      <c r="R11" s="1002" t="s">
        <v>852</v>
      </c>
      <c r="S11" s="1002">
        <v>50198</v>
      </c>
      <c r="T11" s="269" t="b">
        <f t="shared" si="2"/>
        <v>1</v>
      </c>
      <c r="U11" s="269" t="b">
        <f t="shared" si="3"/>
        <v>1</v>
      </c>
    </row>
    <row r="12" spans="1:21" ht="15" thickBot="1" x14ac:dyDescent="0.35">
      <c r="A12" s="1137" t="s">
        <v>853</v>
      </c>
      <c r="B12" s="1136">
        <v>50199</v>
      </c>
      <c r="C12" s="723"/>
      <c r="D12" s="55"/>
      <c r="E12" s="56"/>
      <c r="M12" s="1159" t="s">
        <v>853</v>
      </c>
      <c r="N12" s="1160">
        <v>50199</v>
      </c>
      <c r="O12" s="269" t="b">
        <f t="shared" si="0"/>
        <v>1</v>
      </c>
      <c r="P12" s="269" t="b">
        <f t="shared" si="1"/>
        <v>1</v>
      </c>
      <c r="R12" s="1002" t="s">
        <v>853</v>
      </c>
      <c r="S12" s="269">
        <v>50199</v>
      </c>
      <c r="T12" s="269" t="b">
        <f t="shared" si="2"/>
        <v>1</v>
      </c>
      <c r="U12" s="269" t="b">
        <f t="shared" si="3"/>
        <v>1</v>
      </c>
    </row>
    <row r="13" spans="1:21" ht="15" thickBot="1" x14ac:dyDescent="0.35">
      <c r="A13" s="1137" t="s">
        <v>854</v>
      </c>
      <c r="B13" s="1136">
        <v>50200</v>
      </c>
      <c r="C13" s="723"/>
      <c r="D13" s="55"/>
      <c r="E13" s="56"/>
      <c r="M13" s="1159" t="s">
        <v>854</v>
      </c>
      <c r="N13" s="1160">
        <v>50200</v>
      </c>
      <c r="O13" s="269" t="b">
        <f t="shared" si="0"/>
        <v>1</v>
      </c>
      <c r="P13" s="269" t="b">
        <f t="shared" si="1"/>
        <v>1</v>
      </c>
      <c r="R13" s="1002" t="s">
        <v>854</v>
      </c>
      <c r="S13" s="269">
        <v>50200</v>
      </c>
      <c r="T13" s="269" t="b">
        <f t="shared" si="2"/>
        <v>1</v>
      </c>
      <c r="U13" s="269" t="b">
        <f t="shared" si="3"/>
        <v>1</v>
      </c>
    </row>
    <row r="14" spans="1:21" ht="15" thickBot="1" x14ac:dyDescent="0.35">
      <c r="A14" s="1137" t="s">
        <v>855</v>
      </c>
      <c r="B14" s="1136">
        <v>50201</v>
      </c>
      <c r="C14" s="723"/>
      <c r="D14" s="55"/>
      <c r="E14" s="56"/>
      <c r="M14" s="1159" t="s">
        <v>855</v>
      </c>
      <c r="N14" s="1160">
        <v>50201</v>
      </c>
      <c r="O14" s="269" t="b">
        <f t="shared" si="0"/>
        <v>1</v>
      </c>
      <c r="P14" s="269" t="b">
        <f t="shared" si="1"/>
        <v>1</v>
      </c>
      <c r="R14" s="1002" t="s">
        <v>855</v>
      </c>
      <c r="S14" s="269">
        <v>50201</v>
      </c>
      <c r="T14" s="269" t="b">
        <f t="shared" si="2"/>
        <v>1</v>
      </c>
      <c r="U14" s="269" t="b">
        <f t="shared" si="3"/>
        <v>1</v>
      </c>
    </row>
    <row r="15" spans="1:21" ht="15" thickBot="1" x14ac:dyDescent="0.35">
      <c r="A15" s="1137" t="s">
        <v>856</v>
      </c>
      <c r="B15" s="1136">
        <v>50202</v>
      </c>
      <c r="C15" s="723"/>
      <c r="D15" s="55"/>
      <c r="E15" s="56"/>
      <c r="M15" s="1159" t="s">
        <v>856</v>
      </c>
      <c r="N15" s="1160">
        <v>50202</v>
      </c>
      <c r="O15" s="269" t="b">
        <f t="shared" si="0"/>
        <v>1</v>
      </c>
      <c r="P15" s="269" t="b">
        <f t="shared" si="1"/>
        <v>1</v>
      </c>
      <c r="R15" s="1002" t="s">
        <v>856</v>
      </c>
      <c r="S15" s="269">
        <v>50202</v>
      </c>
      <c r="T15" s="269" t="b">
        <f t="shared" si="2"/>
        <v>1</v>
      </c>
      <c r="U15" s="269" t="b">
        <f t="shared" si="3"/>
        <v>1</v>
      </c>
    </row>
    <row r="16" spans="1:21" ht="15" thickBot="1" x14ac:dyDescent="0.35">
      <c r="A16" s="1137" t="s">
        <v>857</v>
      </c>
      <c r="B16" s="1136">
        <v>50493</v>
      </c>
      <c r="C16" s="723"/>
      <c r="D16" s="55"/>
      <c r="E16" s="56"/>
      <c r="M16" s="1159" t="s">
        <v>857</v>
      </c>
      <c r="N16" s="1160">
        <v>50493</v>
      </c>
      <c r="O16" s="269" t="b">
        <f t="shared" si="0"/>
        <v>1</v>
      </c>
      <c r="P16" s="269" t="b">
        <f t="shared" si="1"/>
        <v>1</v>
      </c>
      <c r="R16" s="1002" t="s">
        <v>857</v>
      </c>
      <c r="S16" s="269">
        <v>50493</v>
      </c>
      <c r="T16" s="269" t="b">
        <f t="shared" si="2"/>
        <v>1</v>
      </c>
      <c r="U16" s="269" t="b">
        <f t="shared" si="3"/>
        <v>1</v>
      </c>
    </row>
    <row r="17" spans="1:21" ht="15" thickBot="1" x14ac:dyDescent="0.35">
      <c r="A17" s="1137" t="s">
        <v>858</v>
      </c>
      <c r="B17" s="1136">
        <v>50203</v>
      </c>
      <c r="C17" s="723"/>
      <c r="D17" s="55"/>
      <c r="E17" s="56"/>
      <c r="M17" s="1159" t="s">
        <v>858</v>
      </c>
      <c r="N17" s="1160">
        <v>50203</v>
      </c>
      <c r="O17" s="269" t="b">
        <f t="shared" si="0"/>
        <v>1</v>
      </c>
      <c r="P17" s="269" t="b">
        <f t="shared" si="1"/>
        <v>1</v>
      </c>
      <c r="R17" s="1002" t="s">
        <v>858</v>
      </c>
      <c r="S17" s="269">
        <v>50203</v>
      </c>
      <c r="T17" s="269" t="b">
        <f t="shared" si="2"/>
        <v>1</v>
      </c>
      <c r="U17" s="269" t="b">
        <f t="shared" si="3"/>
        <v>1</v>
      </c>
    </row>
    <row r="18" spans="1:21" ht="15" thickBot="1" x14ac:dyDescent="0.35">
      <c r="A18" s="1137" t="s">
        <v>859</v>
      </c>
      <c r="B18" s="1136">
        <v>50518</v>
      </c>
      <c r="C18" s="723"/>
      <c r="D18" s="55"/>
      <c r="E18" s="56"/>
      <c r="M18" s="1159" t="e">
        <v>#N/A</v>
      </c>
      <c r="N18" s="1160">
        <v>50518</v>
      </c>
      <c r="O18" s="269" t="e">
        <f t="shared" si="0"/>
        <v>#N/A</v>
      </c>
      <c r="P18" s="269" t="b">
        <f t="shared" si="1"/>
        <v>1</v>
      </c>
      <c r="R18" s="1002" t="s">
        <v>859</v>
      </c>
      <c r="S18" s="269">
        <v>50518</v>
      </c>
      <c r="T18" s="269" t="e">
        <f t="shared" si="2"/>
        <v>#N/A</v>
      </c>
      <c r="U18" s="269" t="b">
        <f t="shared" si="3"/>
        <v>1</v>
      </c>
    </row>
    <row r="19" spans="1:21" ht="15" thickBot="1" x14ac:dyDescent="0.35">
      <c r="A19" s="1137" t="s">
        <v>860</v>
      </c>
      <c r="B19" s="1136">
        <v>50204</v>
      </c>
      <c r="C19" s="723"/>
      <c r="D19" s="55"/>
      <c r="E19" s="56"/>
      <c r="M19" s="1159" t="s">
        <v>860</v>
      </c>
      <c r="N19" s="1160">
        <v>50204</v>
      </c>
      <c r="O19" s="269" t="b">
        <f t="shared" si="0"/>
        <v>1</v>
      </c>
      <c r="P19" s="269" t="b">
        <f t="shared" si="1"/>
        <v>1</v>
      </c>
      <c r="R19" s="1002" t="s">
        <v>860</v>
      </c>
      <c r="S19" s="269">
        <v>50204</v>
      </c>
      <c r="T19" s="269" t="b">
        <f t="shared" si="2"/>
        <v>1</v>
      </c>
      <c r="U19" s="269" t="b">
        <f t="shared" si="3"/>
        <v>1</v>
      </c>
    </row>
    <row r="20" spans="1:21" ht="15" thickBot="1" x14ac:dyDescent="0.35">
      <c r="A20" s="1137" t="s">
        <v>861</v>
      </c>
      <c r="B20" s="1136">
        <v>50205</v>
      </c>
      <c r="C20" s="723"/>
      <c r="D20" s="55"/>
      <c r="E20" s="56"/>
      <c r="M20" s="1159" t="s">
        <v>861</v>
      </c>
      <c r="N20" s="1160">
        <v>50205</v>
      </c>
      <c r="O20" s="269" t="b">
        <f t="shared" si="0"/>
        <v>1</v>
      </c>
      <c r="P20" s="269" t="b">
        <f t="shared" si="1"/>
        <v>1</v>
      </c>
      <c r="R20" s="1002" t="s">
        <v>861</v>
      </c>
      <c r="S20" s="269">
        <v>50205</v>
      </c>
      <c r="T20" s="269" t="b">
        <f t="shared" si="2"/>
        <v>1</v>
      </c>
      <c r="U20" s="269" t="b">
        <f t="shared" si="3"/>
        <v>1</v>
      </c>
    </row>
    <row r="21" spans="1:21" ht="15" thickBot="1" x14ac:dyDescent="0.35">
      <c r="A21" s="1137" t="s">
        <v>862</v>
      </c>
      <c r="B21" s="1136">
        <v>50206</v>
      </c>
      <c r="C21" s="723"/>
      <c r="D21" s="55"/>
      <c r="E21" s="56"/>
      <c r="M21" s="1159" t="s">
        <v>862</v>
      </c>
      <c r="N21" s="1160">
        <v>50206</v>
      </c>
      <c r="O21" s="269" t="b">
        <f t="shared" si="0"/>
        <v>1</v>
      </c>
      <c r="P21" s="269" t="b">
        <f t="shared" si="1"/>
        <v>1</v>
      </c>
      <c r="R21" s="1002" t="s">
        <v>862</v>
      </c>
      <c r="S21" s="269">
        <v>50206</v>
      </c>
      <c r="T21" s="269" t="b">
        <f t="shared" si="2"/>
        <v>1</v>
      </c>
      <c r="U21" s="269" t="b">
        <f t="shared" si="3"/>
        <v>1</v>
      </c>
    </row>
    <row r="22" spans="1:21" ht="15" thickBot="1" x14ac:dyDescent="0.35">
      <c r="A22" s="1137" t="s">
        <v>863</v>
      </c>
      <c r="B22" s="1136">
        <v>50207</v>
      </c>
      <c r="C22" s="723"/>
      <c r="D22" s="55"/>
      <c r="E22" s="56"/>
      <c r="M22" s="1159" t="s">
        <v>863</v>
      </c>
      <c r="N22" s="1160">
        <v>50207</v>
      </c>
      <c r="O22" s="269" t="b">
        <f t="shared" si="0"/>
        <v>1</v>
      </c>
      <c r="P22" s="269" t="b">
        <f t="shared" si="1"/>
        <v>1</v>
      </c>
      <c r="R22" s="1002" t="s">
        <v>863</v>
      </c>
      <c r="S22" s="269">
        <v>50207</v>
      </c>
      <c r="T22" s="269" t="b">
        <f t="shared" si="2"/>
        <v>1</v>
      </c>
      <c r="U22" s="269" t="b">
        <f t="shared" si="3"/>
        <v>1</v>
      </c>
    </row>
    <row r="23" spans="1:21" ht="15" thickBot="1" x14ac:dyDescent="0.35">
      <c r="A23" s="1137" t="s">
        <v>864</v>
      </c>
      <c r="B23" s="1136">
        <v>50208</v>
      </c>
      <c r="C23" s="723"/>
      <c r="D23" s="55"/>
      <c r="E23" s="56"/>
      <c r="M23" s="1159" t="s">
        <v>864</v>
      </c>
      <c r="N23" s="1160">
        <v>50208</v>
      </c>
      <c r="O23" s="269" t="b">
        <f t="shared" si="0"/>
        <v>1</v>
      </c>
      <c r="P23" s="269" t="b">
        <f t="shared" si="1"/>
        <v>1</v>
      </c>
      <c r="R23" s="1002" t="s">
        <v>864</v>
      </c>
      <c r="S23" s="269">
        <v>50208</v>
      </c>
      <c r="T23" s="269" t="b">
        <f t="shared" si="2"/>
        <v>1</v>
      </c>
      <c r="U23" s="269" t="b">
        <f t="shared" si="3"/>
        <v>1</v>
      </c>
    </row>
    <row r="24" spans="1:21" ht="15" thickBot="1" x14ac:dyDescent="0.35">
      <c r="A24" s="1137" t="s">
        <v>865</v>
      </c>
      <c r="B24" s="1136">
        <v>50209</v>
      </c>
      <c r="C24" s="723"/>
      <c r="D24" s="55"/>
      <c r="E24" s="56"/>
      <c r="M24" s="1159" t="s">
        <v>865</v>
      </c>
      <c r="N24" s="1160">
        <v>50209</v>
      </c>
      <c r="O24" s="269" t="b">
        <f t="shared" si="0"/>
        <v>1</v>
      </c>
      <c r="P24" s="269" t="b">
        <f t="shared" si="1"/>
        <v>1</v>
      </c>
      <c r="R24" s="1002" t="s">
        <v>865</v>
      </c>
      <c r="S24" s="269">
        <v>50209</v>
      </c>
      <c r="T24" s="269" t="b">
        <f t="shared" si="2"/>
        <v>1</v>
      </c>
      <c r="U24" s="269" t="b">
        <f t="shared" si="3"/>
        <v>1</v>
      </c>
    </row>
    <row r="25" spans="1:21" ht="15" thickBot="1" x14ac:dyDescent="0.35">
      <c r="A25" s="1137" t="s">
        <v>866</v>
      </c>
      <c r="B25" s="1136">
        <v>50210</v>
      </c>
      <c r="C25" s="723"/>
      <c r="D25" s="55"/>
      <c r="E25" s="56"/>
      <c r="M25" s="1159" t="s">
        <v>866</v>
      </c>
      <c r="N25" s="1160">
        <v>50210</v>
      </c>
      <c r="O25" s="269" t="b">
        <f t="shared" si="0"/>
        <v>1</v>
      </c>
      <c r="P25" s="269" t="b">
        <f t="shared" si="1"/>
        <v>1</v>
      </c>
      <c r="R25" s="1002" t="s">
        <v>866</v>
      </c>
      <c r="S25" s="269">
        <v>50210</v>
      </c>
      <c r="T25" s="269" t="b">
        <f t="shared" si="2"/>
        <v>1</v>
      </c>
      <c r="U25" s="269" t="b">
        <f t="shared" si="3"/>
        <v>1</v>
      </c>
    </row>
    <row r="26" spans="1:21" ht="15" thickBot="1" x14ac:dyDescent="0.35">
      <c r="A26" s="1137" t="s">
        <v>867</v>
      </c>
      <c r="B26" s="1136">
        <v>50519</v>
      </c>
      <c r="C26" s="723"/>
      <c r="D26" s="55"/>
      <c r="E26" s="56"/>
      <c r="M26" s="1159" t="s">
        <v>867</v>
      </c>
      <c r="N26" s="1160">
        <v>50519</v>
      </c>
      <c r="O26" s="269" t="b">
        <f t="shared" si="0"/>
        <v>1</v>
      </c>
      <c r="P26" s="269" t="b">
        <f t="shared" si="1"/>
        <v>1</v>
      </c>
      <c r="R26" s="1002" t="s">
        <v>867</v>
      </c>
      <c r="S26" s="269">
        <v>50519</v>
      </c>
      <c r="T26" s="269" t="b">
        <f t="shared" si="2"/>
        <v>1</v>
      </c>
      <c r="U26" s="269" t="b">
        <f t="shared" si="3"/>
        <v>1</v>
      </c>
    </row>
    <row r="27" spans="1:21" ht="15" thickBot="1" x14ac:dyDescent="0.35">
      <c r="A27" s="1137" t="s">
        <v>868</v>
      </c>
      <c r="B27" s="1136">
        <v>50528</v>
      </c>
      <c r="C27" s="723"/>
      <c r="D27" s="55"/>
      <c r="E27" s="56"/>
      <c r="M27" s="1159" t="s">
        <v>868</v>
      </c>
      <c r="N27" s="1160">
        <v>50528</v>
      </c>
      <c r="O27" s="269" t="b">
        <f t="shared" si="0"/>
        <v>1</v>
      </c>
      <c r="P27" s="269" t="b">
        <f t="shared" si="1"/>
        <v>1</v>
      </c>
      <c r="R27" s="1002" t="s">
        <v>868</v>
      </c>
      <c r="S27" s="269">
        <v>50528</v>
      </c>
      <c r="T27" s="269" t="b">
        <f t="shared" si="2"/>
        <v>1</v>
      </c>
      <c r="U27" s="269" t="b">
        <f t="shared" si="3"/>
        <v>1</v>
      </c>
    </row>
    <row r="28" spans="1:21" ht="15" thickBot="1" x14ac:dyDescent="0.35">
      <c r="A28" s="1137" t="s">
        <v>869</v>
      </c>
      <c r="B28" s="1136">
        <v>50211</v>
      </c>
      <c r="C28" s="723"/>
      <c r="D28" s="55"/>
      <c r="E28" s="56"/>
      <c r="M28" s="1159" t="s">
        <v>869</v>
      </c>
      <c r="N28" s="1160">
        <v>50211</v>
      </c>
      <c r="O28" s="269" t="b">
        <f t="shared" si="0"/>
        <v>1</v>
      </c>
      <c r="P28" s="269" t="b">
        <f t="shared" si="1"/>
        <v>1</v>
      </c>
      <c r="R28" s="1002" t="s">
        <v>869</v>
      </c>
      <c r="S28" s="269">
        <v>50211</v>
      </c>
      <c r="T28" s="269" t="b">
        <f t="shared" si="2"/>
        <v>1</v>
      </c>
      <c r="U28" s="269" t="b">
        <f t="shared" si="3"/>
        <v>1</v>
      </c>
    </row>
    <row r="29" spans="1:21" ht="15" thickBot="1" x14ac:dyDescent="0.35">
      <c r="A29" s="1137" t="s">
        <v>870</v>
      </c>
      <c r="B29" s="1136">
        <v>50212</v>
      </c>
      <c r="C29" s="723"/>
      <c r="D29" s="55"/>
      <c r="E29" s="56"/>
      <c r="M29" s="1159" t="s">
        <v>870</v>
      </c>
      <c r="N29" s="1160">
        <v>50212</v>
      </c>
      <c r="O29" s="269" t="b">
        <f t="shared" si="0"/>
        <v>1</v>
      </c>
      <c r="P29" s="269" t="b">
        <f t="shared" si="1"/>
        <v>1</v>
      </c>
      <c r="R29" s="1002" t="s">
        <v>870</v>
      </c>
      <c r="S29" s="269">
        <v>50212</v>
      </c>
      <c r="T29" s="269" t="b">
        <f t="shared" si="2"/>
        <v>1</v>
      </c>
      <c r="U29" s="269" t="b">
        <f t="shared" si="3"/>
        <v>1</v>
      </c>
    </row>
    <row r="30" spans="1:21" ht="15" thickBot="1" x14ac:dyDescent="0.35">
      <c r="A30" s="1137" t="s">
        <v>871</v>
      </c>
      <c r="B30" s="1136">
        <v>50213</v>
      </c>
      <c r="C30" s="723"/>
      <c r="D30" s="55"/>
      <c r="E30" s="56"/>
      <c r="M30" s="1159" t="s">
        <v>871</v>
      </c>
      <c r="N30" s="1160">
        <v>50213</v>
      </c>
      <c r="O30" s="269" t="b">
        <f t="shared" si="0"/>
        <v>1</v>
      </c>
      <c r="P30" s="269" t="b">
        <f t="shared" si="1"/>
        <v>1</v>
      </c>
      <c r="R30" s="1002" t="s">
        <v>871</v>
      </c>
      <c r="S30" s="269">
        <v>50213</v>
      </c>
      <c r="T30" s="269" t="b">
        <f t="shared" si="2"/>
        <v>1</v>
      </c>
      <c r="U30" s="269" t="b">
        <f t="shared" si="3"/>
        <v>1</v>
      </c>
    </row>
    <row r="31" spans="1:21" ht="15" thickBot="1" x14ac:dyDescent="0.35">
      <c r="A31" s="1137" t="s">
        <v>872</v>
      </c>
      <c r="B31" s="1136">
        <v>50214</v>
      </c>
      <c r="C31" s="723"/>
      <c r="D31" s="55"/>
      <c r="E31" s="56"/>
      <c r="M31" s="1159" t="s">
        <v>872</v>
      </c>
      <c r="N31" s="1160">
        <v>50214</v>
      </c>
      <c r="O31" s="269" t="b">
        <f t="shared" si="0"/>
        <v>1</v>
      </c>
      <c r="P31" s="269" t="b">
        <f t="shared" si="1"/>
        <v>1</v>
      </c>
      <c r="R31" s="1002" t="s">
        <v>872</v>
      </c>
      <c r="S31" s="269">
        <v>50214</v>
      </c>
      <c r="T31" s="269" t="b">
        <f t="shared" si="2"/>
        <v>1</v>
      </c>
      <c r="U31" s="269" t="b">
        <f t="shared" si="3"/>
        <v>1</v>
      </c>
    </row>
    <row r="32" spans="1:21" ht="15" thickBot="1" x14ac:dyDescent="0.35">
      <c r="A32" s="1137" t="s">
        <v>873</v>
      </c>
      <c r="B32" s="1136">
        <v>50215</v>
      </c>
      <c r="C32" s="723"/>
      <c r="D32" s="55"/>
      <c r="E32" s="56"/>
      <c r="M32" s="1159" t="s">
        <v>873</v>
      </c>
      <c r="N32" s="1160">
        <v>50215</v>
      </c>
      <c r="O32" s="269" t="b">
        <f t="shared" si="0"/>
        <v>1</v>
      </c>
      <c r="P32" s="269" t="b">
        <f t="shared" si="1"/>
        <v>1</v>
      </c>
      <c r="R32" s="1002" t="s">
        <v>873</v>
      </c>
      <c r="S32" s="269">
        <v>50215</v>
      </c>
      <c r="T32" s="269" t="b">
        <f t="shared" si="2"/>
        <v>1</v>
      </c>
      <c r="U32" s="269" t="b">
        <f t="shared" si="3"/>
        <v>1</v>
      </c>
    </row>
    <row r="33" spans="1:21" ht="15" thickBot="1" x14ac:dyDescent="0.35">
      <c r="A33" s="1137" t="s">
        <v>874</v>
      </c>
      <c r="B33" s="1136">
        <v>50216</v>
      </c>
      <c r="C33" s="723"/>
      <c r="D33" s="55"/>
      <c r="E33" s="56"/>
      <c r="M33" s="1159" t="s">
        <v>874</v>
      </c>
      <c r="N33" s="1160">
        <v>50216</v>
      </c>
      <c r="O33" s="269" t="b">
        <f t="shared" si="0"/>
        <v>1</v>
      </c>
      <c r="P33" s="269" t="b">
        <f t="shared" si="1"/>
        <v>1</v>
      </c>
      <c r="R33" s="1002" t="s">
        <v>874</v>
      </c>
      <c r="S33" s="269">
        <v>50216</v>
      </c>
      <c r="T33" s="269" t="b">
        <f t="shared" si="2"/>
        <v>1</v>
      </c>
      <c r="U33" s="269" t="b">
        <f t="shared" si="3"/>
        <v>1</v>
      </c>
    </row>
    <row r="34" spans="1:21" ht="15" thickBot="1" x14ac:dyDescent="0.35">
      <c r="A34" s="1137" t="s">
        <v>875</v>
      </c>
      <c r="B34" s="1136">
        <v>50217</v>
      </c>
      <c r="C34" s="723"/>
      <c r="D34" s="55"/>
      <c r="E34" s="56"/>
      <c r="M34" s="1159" t="s">
        <v>875</v>
      </c>
      <c r="N34" s="1160">
        <v>50217</v>
      </c>
      <c r="O34" s="269" t="b">
        <f t="shared" si="0"/>
        <v>1</v>
      </c>
      <c r="P34" s="269" t="b">
        <f t="shared" si="1"/>
        <v>1</v>
      </c>
      <c r="R34" s="1002" t="s">
        <v>875</v>
      </c>
      <c r="S34" s="269">
        <v>50217</v>
      </c>
      <c r="T34" s="269" t="b">
        <f t="shared" si="2"/>
        <v>1</v>
      </c>
      <c r="U34" s="269" t="b">
        <f t="shared" si="3"/>
        <v>1</v>
      </c>
    </row>
    <row r="35" spans="1:21" ht="15" thickBot="1" x14ac:dyDescent="0.35">
      <c r="A35" s="1137" t="s">
        <v>876</v>
      </c>
      <c r="B35" s="1136">
        <v>50218</v>
      </c>
      <c r="C35" s="723"/>
      <c r="D35" s="55"/>
      <c r="E35" s="56"/>
      <c r="M35" s="1159" t="s">
        <v>876</v>
      </c>
      <c r="N35" s="1160">
        <v>50218</v>
      </c>
      <c r="O35" s="269" t="b">
        <f t="shared" si="0"/>
        <v>1</v>
      </c>
      <c r="P35" s="269" t="b">
        <f t="shared" si="1"/>
        <v>1</v>
      </c>
      <c r="R35" s="1002" t="s">
        <v>876</v>
      </c>
      <c r="S35" s="269">
        <v>50218</v>
      </c>
      <c r="T35" s="269" t="b">
        <f t="shared" si="2"/>
        <v>1</v>
      </c>
      <c r="U35" s="269" t="b">
        <f t="shared" si="3"/>
        <v>1</v>
      </c>
    </row>
    <row r="36" spans="1:21" ht="15" thickBot="1" x14ac:dyDescent="0.35">
      <c r="A36" s="1137" t="s">
        <v>877</v>
      </c>
      <c r="B36" s="1136">
        <v>50477</v>
      </c>
      <c r="C36" s="723"/>
      <c r="D36" s="55"/>
      <c r="E36" s="56"/>
      <c r="M36" s="1159" t="s">
        <v>877</v>
      </c>
      <c r="N36" s="1160">
        <v>50477</v>
      </c>
      <c r="O36" s="269" t="b">
        <f t="shared" si="0"/>
        <v>1</v>
      </c>
      <c r="P36" s="269" t="b">
        <f t="shared" si="1"/>
        <v>1</v>
      </c>
      <c r="R36" s="1002" t="s">
        <v>877</v>
      </c>
      <c r="S36" s="269">
        <v>50477</v>
      </c>
      <c r="T36" s="269" t="b">
        <f t="shared" si="2"/>
        <v>1</v>
      </c>
      <c r="U36" s="269" t="b">
        <f t="shared" si="3"/>
        <v>1</v>
      </c>
    </row>
    <row r="37" spans="1:21" ht="15" thickBot="1" x14ac:dyDescent="0.35">
      <c r="A37" s="1137" t="s">
        <v>878</v>
      </c>
      <c r="B37" s="1136">
        <v>50520</v>
      </c>
      <c r="C37" s="723"/>
      <c r="D37" s="55"/>
      <c r="E37" s="56"/>
      <c r="M37" s="1159" t="s">
        <v>878</v>
      </c>
      <c r="N37" s="1160">
        <v>50520</v>
      </c>
      <c r="O37" s="269" t="b">
        <f t="shared" si="0"/>
        <v>1</v>
      </c>
      <c r="P37" s="269" t="b">
        <f t="shared" si="1"/>
        <v>1</v>
      </c>
      <c r="R37" s="1002" t="s">
        <v>878</v>
      </c>
      <c r="S37" s="269">
        <v>50520</v>
      </c>
      <c r="T37" s="269" t="b">
        <f t="shared" si="2"/>
        <v>1</v>
      </c>
      <c r="U37" s="269" t="b">
        <f t="shared" si="3"/>
        <v>1</v>
      </c>
    </row>
    <row r="38" spans="1:21" ht="15" thickBot="1" x14ac:dyDescent="0.35">
      <c r="A38" s="1137" t="s">
        <v>879</v>
      </c>
      <c r="B38" s="1136">
        <v>50219</v>
      </c>
      <c r="C38" s="723"/>
      <c r="D38" s="55"/>
      <c r="E38" s="56"/>
      <c r="M38" s="1159" t="s">
        <v>879</v>
      </c>
      <c r="N38" s="1160">
        <v>50219</v>
      </c>
      <c r="O38" s="269" t="b">
        <f t="shared" si="0"/>
        <v>1</v>
      </c>
      <c r="P38" s="269" t="b">
        <f t="shared" si="1"/>
        <v>1</v>
      </c>
      <c r="R38" s="1002" t="s">
        <v>879</v>
      </c>
      <c r="S38" s="269">
        <v>50219</v>
      </c>
      <c r="T38" s="269" t="b">
        <f t="shared" si="2"/>
        <v>1</v>
      </c>
      <c r="U38" s="269" t="b">
        <f t="shared" si="3"/>
        <v>1</v>
      </c>
    </row>
    <row r="39" spans="1:21" ht="15" thickBot="1" x14ac:dyDescent="0.35">
      <c r="A39" s="1137" t="s">
        <v>880</v>
      </c>
      <c r="B39" s="1136">
        <v>50220</v>
      </c>
      <c r="C39" s="723"/>
      <c r="D39" s="55"/>
      <c r="E39" s="56"/>
      <c r="M39" s="1159" t="s">
        <v>880</v>
      </c>
      <c r="N39" s="1160">
        <v>50220</v>
      </c>
      <c r="O39" s="269" t="b">
        <f t="shared" si="0"/>
        <v>1</v>
      </c>
      <c r="P39" s="269" t="b">
        <f t="shared" si="1"/>
        <v>1</v>
      </c>
      <c r="R39" s="1002" t="s">
        <v>880</v>
      </c>
      <c r="S39" s="269">
        <v>50220</v>
      </c>
      <c r="T39" s="269" t="b">
        <f t="shared" si="2"/>
        <v>1</v>
      </c>
      <c r="U39" s="269" t="b">
        <f t="shared" si="3"/>
        <v>1</v>
      </c>
    </row>
    <row r="40" spans="1:21" ht="15" thickBot="1" x14ac:dyDescent="0.35">
      <c r="A40" s="1137" t="s">
        <v>881</v>
      </c>
      <c r="B40" s="1136">
        <v>50536</v>
      </c>
      <c r="C40" s="723"/>
      <c r="D40" s="55"/>
      <c r="E40" s="56"/>
      <c r="M40" s="1159" t="s">
        <v>881</v>
      </c>
      <c r="N40" s="1160">
        <v>50536</v>
      </c>
      <c r="O40" s="269" t="b">
        <f t="shared" si="0"/>
        <v>1</v>
      </c>
      <c r="P40" s="269" t="b">
        <f t="shared" si="1"/>
        <v>1</v>
      </c>
      <c r="R40" s="1002" t="s">
        <v>881</v>
      </c>
      <c r="S40" s="269">
        <v>50536</v>
      </c>
      <c r="T40" s="269" t="b">
        <f t="shared" si="2"/>
        <v>1</v>
      </c>
      <c r="U40" s="269" t="b">
        <f t="shared" si="3"/>
        <v>1</v>
      </c>
    </row>
    <row r="41" spans="1:21" ht="15" thickBot="1" x14ac:dyDescent="0.35">
      <c r="A41" s="1137" t="s">
        <v>882</v>
      </c>
      <c r="B41" s="1136">
        <v>50221</v>
      </c>
      <c r="C41" s="723"/>
      <c r="D41" s="55"/>
      <c r="E41" s="56"/>
      <c r="M41" s="1159" t="s">
        <v>882</v>
      </c>
      <c r="N41" s="1160">
        <v>50221</v>
      </c>
      <c r="O41" s="269" t="b">
        <f t="shared" si="0"/>
        <v>1</v>
      </c>
      <c r="P41" s="269" t="b">
        <f t="shared" si="1"/>
        <v>1</v>
      </c>
      <c r="R41" s="1002" t="s">
        <v>882</v>
      </c>
      <c r="S41" s="269">
        <v>50221</v>
      </c>
      <c r="T41" s="269" t="b">
        <f t="shared" si="2"/>
        <v>1</v>
      </c>
      <c r="U41" s="269" t="b">
        <f t="shared" si="3"/>
        <v>1</v>
      </c>
    </row>
    <row r="42" spans="1:21" ht="15" thickBot="1" x14ac:dyDescent="0.35">
      <c r="A42" s="1137" t="s">
        <v>883</v>
      </c>
      <c r="B42" s="1136">
        <v>50222</v>
      </c>
      <c r="C42" s="723"/>
      <c r="D42" s="55"/>
      <c r="E42" s="56"/>
      <c r="M42" s="1159" t="s">
        <v>883</v>
      </c>
      <c r="N42" s="1160">
        <v>50222</v>
      </c>
      <c r="O42" s="269" t="b">
        <f t="shared" si="0"/>
        <v>1</v>
      </c>
      <c r="P42" s="269" t="b">
        <f t="shared" si="1"/>
        <v>1</v>
      </c>
      <c r="R42" s="1002" t="s">
        <v>883</v>
      </c>
      <c r="S42" s="269">
        <v>50222</v>
      </c>
      <c r="T42" s="269" t="b">
        <f t="shared" si="2"/>
        <v>1</v>
      </c>
      <c r="U42" s="269" t="b">
        <f t="shared" si="3"/>
        <v>1</v>
      </c>
    </row>
    <row r="43" spans="1:21" ht="15" thickBot="1" x14ac:dyDescent="0.35">
      <c r="A43" s="1137" t="s">
        <v>884</v>
      </c>
      <c r="B43" s="1136">
        <v>50223</v>
      </c>
      <c r="C43" s="723"/>
      <c r="D43" s="55"/>
      <c r="E43" s="56"/>
      <c r="M43" s="1159" t="s">
        <v>884</v>
      </c>
      <c r="N43" s="1160">
        <v>50223</v>
      </c>
      <c r="O43" s="269" t="b">
        <f t="shared" si="0"/>
        <v>1</v>
      </c>
      <c r="P43" s="269" t="b">
        <f t="shared" si="1"/>
        <v>1</v>
      </c>
      <c r="R43" s="1002" t="s">
        <v>884</v>
      </c>
      <c r="S43" s="269">
        <v>50223</v>
      </c>
      <c r="T43" s="269" t="b">
        <f t="shared" si="2"/>
        <v>1</v>
      </c>
      <c r="U43" s="269" t="b">
        <f t="shared" si="3"/>
        <v>1</v>
      </c>
    </row>
    <row r="44" spans="1:21" ht="15" thickBot="1" x14ac:dyDescent="0.35">
      <c r="A44" s="1137" t="s">
        <v>885</v>
      </c>
      <c r="B44" s="1136">
        <v>50224</v>
      </c>
      <c r="C44" s="723"/>
      <c r="D44" s="55"/>
      <c r="E44" s="56"/>
      <c r="M44" s="1159" t="s">
        <v>885</v>
      </c>
      <c r="N44" s="1160">
        <v>50224</v>
      </c>
      <c r="O44" s="269" t="b">
        <f t="shared" si="0"/>
        <v>1</v>
      </c>
      <c r="P44" s="269" t="b">
        <f t="shared" si="1"/>
        <v>1</v>
      </c>
      <c r="R44" s="1002" t="s">
        <v>885</v>
      </c>
      <c r="S44" s="269">
        <v>50224</v>
      </c>
      <c r="T44" s="269" t="b">
        <f t="shared" si="2"/>
        <v>1</v>
      </c>
      <c r="U44" s="269" t="b">
        <f t="shared" si="3"/>
        <v>1</v>
      </c>
    </row>
    <row r="45" spans="1:21" ht="15" thickBot="1" x14ac:dyDescent="0.35">
      <c r="A45" s="1137" t="s">
        <v>886</v>
      </c>
      <c r="B45" s="1136">
        <v>50225</v>
      </c>
      <c r="C45" s="723"/>
      <c r="D45" s="55"/>
      <c r="E45" s="56"/>
      <c r="M45" s="1159" t="s">
        <v>886</v>
      </c>
      <c r="N45" s="1160">
        <v>50225</v>
      </c>
      <c r="O45" s="269" t="b">
        <f t="shared" si="0"/>
        <v>1</v>
      </c>
      <c r="P45" s="269" t="b">
        <f t="shared" si="1"/>
        <v>1</v>
      </c>
      <c r="R45" s="1002" t="s">
        <v>886</v>
      </c>
      <c r="S45" s="269">
        <v>50225</v>
      </c>
      <c r="T45" s="269" t="b">
        <f t="shared" si="2"/>
        <v>1</v>
      </c>
      <c r="U45" s="269" t="b">
        <f t="shared" si="3"/>
        <v>1</v>
      </c>
    </row>
    <row r="46" spans="1:21" ht="15" thickBot="1" x14ac:dyDescent="0.35">
      <c r="A46" s="1137" t="s">
        <v>887</v>
      </c>
      <c r="B46" s="1136">
        <v>50226</v>
      </c>
      <c r="C46" s="723"/>
      <c r="D46" s="55"/>
      <c r="E46" s="56"/>
      <c r="M46" s="1159" t="s">
        <v>887</v>
      </c>
      <c r="N46" s="1160">
        <v>50226</v>
      </c>
      <c r="O46" s="269" t="b">
        <f t="shared" si="0"/>
        <v>1</v>
      </c>
      <c r="P46" s="269" t="b">
        <f t="shared" si="1"/>
        <v>1</v>
      </c>
      <c r="R46" s="1002" t="s">
        <v>887</v>
      </c>
      <c r="S46" s="269">
        <v>50226</v>
      </c>
      <c r="T46" s="269" t="b">
        <f t="shared" si="2"/>
        <v>1</v>
      </c>
      <c r="U46" s="269" t="b">
        <f t="shared" si="3"/>
        <v>1</v>
      </c>
    </row>
    <row r="47" spans="1:21" ht="15" thickBot="1" x14ac:dyDescent="0.35">
      <c r="A47" s="1137" t="s">
        <v>888</v>
      </c>
      <c r="B47" s="1136">
        <v>50227</v>
      </c>
      <c r="C47" s="723"/>
      <c r="D47" s="55"/>
      <c r="E47" s="56"/>
      <c r="M47" s="1159" t="s">
        <v>888</v>
      </c>
      <c r="N47" s="1160">
        <v>50227</v>
      </c>
      <c r="O47" s="269" t="b">
        <f t="shared" si="0"/>
        <v>1</v>
      </c>
      <c r="P47" s="269" t="b">
        <f t="shared" si="1"/>
        <v>1</v>
      </c>
      <c r="R47" s="1002" t="s">
        <v>888</v>
      </c>
      <c r="S47" s="269">
        <v>50227</v>
      </c>
      <c r="T47" s="269" t="b">
        <f t="shared" si="2"/>
        <v>1</v>
      </c>
      <c r="U47" s="269" t="b">
        <f t="shared" si="3"/>
        <v>1</v>
      </c>
    </row>
    <row r="48" spans="1:21" ht="15" thickBot="1" x14ac:dyDescent="0.35">
      <c r="A48" s="1137" t="s">
        <v>889</v>
      </c>
      <c r="B48" s="1136">
        <v>50455</v>
      </c>
      <c r="C48" s="723"/>
      <c r="D48" s="55"/>
      <c r="E48" s="56"/>
      <c r="M48" s="1159" t="s">
        <v>889</v>
      </c>
      <c r="N48" s="1160">
        <v>50455</v>
      </c>
      <c r="O48" s="269" t="b">
        <f t="shared" si="0"/>
        <v>1</v>
      </c>
      <c r="P48" s="269" t="b">
        <f t="shared" si="1"/>
        <v>1</v>
      </c>
      <c r="R48" s="1002" t="s">
        <v>889</v>
      </c>
      <c r="S48" s="269">
        <v>50455</v>
      </c>
      <c r="T48" s="269" t="b">
        <f t="shared" si="2"/>
        <v>1</v>
      </c>
      <c r="U48" s="269" t="b">
        <f t="shared" si="3"/>
        <v>1</v>
      </c>
    </row>
    <row r="49" spans="1:22" ht="15" thickBot="1" x14ac:dyDescent="0.35">
      <c r="A49" s="1137" t="s">
        <v>890</v>
      </c>
      <c r="B49" s="1136">
        <v>50229</v>
      </c>
      <c r="C49" s="723"/>
      <c r="D49" s="55"/>
      <c r="E49" s="56"/>
      <c r="M49" s="1159" t="s">
        <v>890</v>
      </c>
      <c r="N49" s="1160">
        <v>50229</v>
      </c>
      <c r="O49" s="269" t="b">
        <f t="shared" si="0"/>
        <v>1</v>
      </c>
      <c r="P49" s="269" t="b">
        <f t="shared" si="1"/>
        <v>1</v>
      </c>
      <c r="R49" s="1002" t="s">
        <v>890</v>
      </c>
      <c r="S49" s="269">
        <v>50229</v>
      </c>
      <c r="T49" s="269" t="b">
        <f t="shared" si="2"/>
        <v>1</v>
      </c>
      <c r="U49" s="269" t="b">
        <f t="shared" si="3"/>
        <v>1</v>
      </c>
    </row>
    <row r="50" spans="1:22" ht="15" thickBot="1" x14ac:dyDescent="0.35">
      <c r="A50" s="1137" t="s">
        <v>891</v>
      </c>
      <c r="B50" s="1136">
        <v>50230</v>
      </c>
      <c r="C50" s="723"/>
      <c r="D50" s="55"/>
      <c r="E50" s="56"/>
      <c r="M50" s="1159" t="s">
        <v>891</v>
      </c>
      <c r="N50" s="1160">
        <v>50230</v>
      </c>
      <c r="O50" s="269" t="b">
        <f t="shared" si="0"/>
        <v>1</v>
      </c>
      <c r="P50" s="269" t="b">
        <f t="shared" si="1"/>
        <v>1</v>
      </c>
      <c r="R50" s="1002" t="s">
        <v>891</v>
      </c>
      <c r="S50" s="269">
        <v>50230</v>
      </c>
      <c r="T50" s="269" t="b">
        <f t="shared" si="2"/>
        <v>1</v>
      </c>
      <c r="U50" s="269" t="b">
        <f t="shared" si="3"/>
        <v>1</v>
      </c>
    </row>
    <row r="51" spans="1:22" ht="15" thickBot="1" x14ac:dyDescent="0.35">
      <c r="A51" s="1137" t="s">
        <v>892</v>
      </c>
      <c r="B51" s="1136">
        <v>50231</v>
      </c>
      <c r="C51" s="723"/>
      <c r="D51" s="55"/>
      <c r="E51" s="56"/>
      <c r="M51" s="1159" t="s">
        <v>892</v>
      </c>
      <c r="N51" s="1160">
        <v>50231</v>
      </c>
      <c r="O51" s="269" t="b">
        <f t="shared" si="0"/>
        <v>1</v>
      </c>
      <c r="P51" s="269" t="b">
        <f t="shared" si="1"/>
        <v>1</v>
      </c>
      <c r="R51" s="1002" t="s">
        <v>892</v>
      </c>
      <c r="S51" s="269">
        <v>50231</v>
      </c>
      <c r="T51" s="269" t="b">
        <f t="shared" si="2"/>
        <v>1</v>
      </c>
      <c r="U51" s="269" t="b">
        <f t="shared" si="3"/>
        <v>1</v>
      </c>
    </row>
    <row r="52" spans="1:22" ht="15" thickBot="1" x14ac:dyDescent="0.35">
      <c r="A52" s="1137" t="s">
        <v>893</v>
      </c>
      <c r="B52" s="1136">
        <v>50232</v>
      </c>
      <c r="C52" s="723"/>
      <c r="D52" s="55"/>
      <c r="E52" s="56"/>
      <c r="M52" s="1159" t="e">
        <v>#N/A</v>
      </c>
      <c r="N52" s="1160">
        <v>50232</v>
      </c>
      <c r="O52" s="269" t="e">
        <f t="shared" si="0"/>
        <v>#N/A</v>
      </c>
      <c r="P52" s="269" t="b">
        <f t="shared" si="1"/>
        <v>1</v>
      </c>
      <c r="R52" s="1002" t="s">
        <v>893</v>
      </c>
      <c r="S52" s="269">
        <v>50232</v>
      </c>
      <c r="T52" s="269" t="e">
        <f t="shared" si="2"/>
        <v>#N/A</v>
      </c>
      <c r="U52" s="269" t="b">
        <f t="shared" si="3"/>
        <v>1</v>
      </c>
      <c r="V52" s="737" t="s">
        <v>1824</v>
      </c>
    </row>
    <row r="53" spans="1:22" ht="15" thickBot="1" x14ac:dyDescent="0.35">
      <c r="A53" s="1137" t="s">
        <v>894</v>
      </c>
      <c r="B53" s="1136">
        <v>50233</v>
      </c>
      <c r="C53" s="723"/>
      <c r="D53" s="55"/>
      <c r="E53" s="56"/>
      <c r="M53" s="1159" t="e">
        <v>#N/A</v>
      </c>
      <c r="N53" s="1160">
        <v>50233</v>
      </c>
      <c r="O53" s="269" t="e">
        <f t="shared" si="0"/>
        <v>#N/A</v>
      </c>
      <c r="P53" s="269" t="b">
        <f t="shared" si="1"/>
        <v>1</v>
      </c>
      <c r="R53" s="1002" t="s">
        <v>894</v>
      </c>
      <c r="S53" s="269">
        <v>50233</v>
      </c>
      <c r="T53" s="269" t="e">
        <f t="shared" si="2"/>
        <v>#N/A</v>
      </c>
      <c r="U53" s="269" t="b">
        <f t="shared" si="3"/>
        <v>1</v>
      </c>
    </row>
    <row r="54" spans="1:22" ht="15" thickBot="1" x14ac:dyDescent="0.35">
      <c r="A54" s="1137" t="s">
        <v>895</v>
      </c>
      <c r="B54" s="1136">
        <v>50234</v>
      </c>
      <c r="C54" s="723"/>
      <c r="D54" s="55"/>
      <c r="E54" s="56"/>
      <c r="M54" s="1159" t="s">
        <v>895</v>
      </c>
      <c r="N54" s="1160">
        <v>50234</v>
      </c>
      <c r="O54" s="269" t="b">
        <f t="shared" si="0"/>
        <v>1</v>
      </c>
      <c r="P54" s="269" t="b">
        <f t="shared" si="1"/>
        <v>1</v>
      </c>
      <c r="R54" s="1002" t="s">
        <v>895</v>
      </c>
      <c r="S54" s="269">
        <v>50234</v>
      </c>
      <c r="T54" s="269" t="b">
        <f t="shared" si="2"/>
        <v>1</v>
      </c>
      <c r="U54" s="269" t="b">
        <f t="shared" si="3"/>
        <v>1</v>
      </c>
    </row>
    <row r="55" spans="1:22" ht="15" thickBot="1" x14ac:dyDescent="0.35">
      <c r="A55" s="1137" t="s">
        <v>896</v>
      </c>
      <c r="B55" s="1136">
        <v>50235</v>
      </c>
      <c r="C55" s="723"/>
      <c r="D55" s="55"/>
      <c r="E55" s="56"/>
      <c r="M55" s="1159" t="s">
        <v>896</v>
      </c>
      <c r="N55" s="1160">
        <v>50235</v>
      </c>
      <c r="O55" s="269" t="b">
        <f t="shared" si="0"/>
        <v>1</v>
      </c>
      <c r="P55" s="269" t="b">
        <f t="shared" si="1"/>
        <v>1</v>
      </c>
      <c r="R55" s="1002" t="s">
        <v>896</v>
      </c>
      <c r="S55" s="269">
        <v>50235</v>
      </c>
      <c r="T55" s="269" t="b">
        <f t="shared" si="2"/>
        <v>1</v>
      </c>
      <c r="U55" s="269" t="b">
        <f t="shared" si="3"/>
        <v>1</v>
      </c>
    </row>
    <row r="56" spans="1:22" ht="15" thickBot="1" x14ac:dyDescent="0.35">
      <c r="A56" s="1137" t="s">
        <v>897</v>
      </c>
      <c r="B56" s="1136">
        <v>50236</v>
      </c>
      <c r="C56" s="723"/>
      <c r="D56" s="55"/>
      <c r="E56" s="56"/>
      <c r="M56" s="1159" t="s">
        <v>897</v>
      </c>
      <c r="N56" s="1160">
        <v>50236</v>
      </c>
      <c r="O56" s="269" t="b">
        <f t="shared" si="0"/>
        <v>1</v>
      </c>
      <c r="P56" s="269" t="b">
        <f t="shared" si="1"/>
        <v>1</v>
      </c>
      <c r="R56" s="1002" t="s">
        <v>897</v>
      </c>
      <c r="S56" s="269">
        <v>50236</v>
      </c>
      <c r="T56" s="269" t="b">
        <f t="shared" si="2"/>
        <v>1</v>
      </c>
      <c r="U56" s="269" t="b">
        <f t="shared" si="3"/>
        <v>1</v>
      </c>
    </row>
    <row r="57" spans="1:22" ht="15" thickBot="1" x14ac:dyDescent="0.35">
      <c r="A57" s="1137" t="s">
        <v>766</v>
      </c>
      <c r="B57" s="1136">
        <v>50237</v>
      </c>
      <c r="C57" s="723"/>
      <c r="D57" s="55"/>
      <c r="E57" s="56"/>
      <c r="M57" s="1159" t="s">
        <v>766</v>
      </c>
      <c r="N57" s="1160">
        <v>50237</v>
      </c>
      <c r="O57" s="269" t="b">
        <f t="shared" si="0"/>
        <v>1</v>
      </c>
      <c r="P57" s="269" t="b">
        <f t="shared" si="1"/>
        <v>1</v>
      </c>
      <c r="R57" s="1002" t="s">
        <v>766</v>
      </c>
      <c r="S57" s="269">
        <v>50237</v>
      </c>
      <c r="T57" s="269" t="b">
        <f t="shared" si="2"/>
        <v>1</v>
      </c>
      <c r="U57" s="269" t="b">
        <f t="shared" si="3"/>
        <v>1</v>
      </c>
    </row>
    <row r="58" spans="1:22" ht="15" thickBot="1" x14ac:dyDescent="0.35">
      <c r="A58" s="1137" t="s">
        <v>898</v>
      </c>
      <c r="B58" s="1136">
        <v>50238</v>
      </c>
      <c r="C58" s="723"/>
      <c r="D58" s="55"/>
      <c r="E58" s="56"/>
      <c r="M58" s="1159" t="s">
        <v>898</v>
      </c>
      <c r="N58" s="1160">
        <v>50238</v>
      </c>
      <c r="O58" s="269" t="b">
        <f t="shared" si="0"/>
        <v>1</v>
      </c>
      <c r="P58" s="269" t="b">
        <f t="shared" si="1"/>
        <v>1</v>
      </c>
      <c r="R58" s="1002" t="s">
        <v>898</v>
      </c>
      <c r="S58" s="269">
        <v>50238</v>
      </c>
      <c r="T58" s="269" t="b">
        <f t="shared" si="2"/>
        <v>1</v>
      </c>
      <c r="U58" s="269" t="b">
        <f t="shared" si="3"/>
        <v>1</v>
      </c>
    </row>
    <row r="59" spans="1:22" ht="15" thickBot="1" x14ac:dyDescent="0.35">
      <c r="A59" s="1137" t="s">
        <v>899</v>
      </c>
      <c r="B59" s="1136">
        <v>50444</v>
      </c>
      <c r="C59" s="723"/>
      <c r="D59" s="55"/>
      <c r="E59" s="56"/>
      <c r="M59" s="1159" t="s">
        <v>899</v>
      </c>
      <c r="N59" s="1160">
        <v>50444</v>
      </c>
      <c r="O59" s="269" t="b">
        <f t="shared" si="0"/>
        <v>1</v>
      </c>
      <c r="P59" s="269" t="b">
        <f t="shared" si="1"/>
        <v>1</v>
      </c>
      <c r="R59" s="1002" t="s">
        <v>899</v>
      </c>
      <c r="S59" s="269">
        <v>50444</v>
      </c>
      <c r="T59" s="269" t="b">
        <f t="shared" si="2"/>
        <v>1</v>
      </c>
      <c r="U59" s="269" t="b">
        <f t="shared" si="3"/>
        <v>1</v>
      </c>
    </row>
    <row r="60" spans="1:22" ht="15" thickBot="1" x14ac:dyDescent="0.35">
      <c r="A60" s="1137" t="s">
        <v>900</v>
      </c>
      <c r="B60" s="1136">
        <v>50239</v>
      </c>
      <c r="C60" s="723"/>
      <c r="D60" s="55"/>
      <c r="E60" s="56"/>
      <c r="M60" s="1159" t="s">
        <v>900</v>
      </c>
      <c r="N60" s="1160">
        <v>50239</v>
      </c>
      <c r="O60" s="269" t="b">
        <f t="shared" si="0"/>
        <v>1</v>
      </c>
      <c r="P60" s="269" t="b">
        <f t="shared" si="1"/>
        <v>1</v>
      </c>
      <c r="R60" s="1002" t="s">
        <v>900</v>
      </c>
      <c r="S60" s="269">
        <v>0</v>
      </c>
      <c r="T60" s="269" t="b">
        <f t="shared" si="2"/>
        <v>1</v>
      </c>
      <c r="U60" s="269" t="b">
        <f t="shared" si="3"/>
        <v>0</v>
      </c>
    </row>
    <row r="61" spans="1:22" ht="15" thickBot="1" x14ac:dyDescent="0.35">
      <c r="A61" s="1137" t="s">
        <v>901</v>
      </c>
      <c r="B61" s="1136">
        <v>50240</v>
      </c>
      <c r="C61" s="723"/>
      <c r="D61" s="55"/>
      <c r="E61" s="56"/>
      <c r="M61" s="1159" t="s">
        <v>901</v>
      </c>
      <c r="N61" s="1160">
        <v>50240</v>
      </c>
      <c r="O61" s="269" t="b">
        <f t="shared" si="0"/>
        <v>1</v>
      </c>
      <c r="P61" s="269" t="b">
        <f t="shared" si="1"/>
        <v>1</v>
      </c>
      <c r="R61" s="1002" t="s">
        <v>901</v>
      </c>
      <c r="S61" s="269">
        <v>50240</v>
      </c>
      <c r="T61" s="269" t="b">
        <f t="shared" si="2"/>
        <v>1</v>
      </c>
      <c r="U61" s="269" t="b">
        <f t="shared" si="3"/>
        <v>1</v>
      </c>
    </row>
    <row r="62" spans="1:22" ht="15" thickBot="1" x14ac:dyDescent="0.35">
      <c r="A62" s="1137" t="s">
        <v>902</v>
      </c>
      <c r="B62" s="1136">
        <v>50241</v>
      </c>
      <c r="C62" s="723"/>
      <c r="D62" s="55"/>
      <c r="E62" s="56"/>
      <c r="M62" s="1159" t="s">
        <v>902</v>
      </c>
      <c r="N62" s="1160">
        <v>50241</v>
      </c>
      <c r="O62" s="269" t="b">
        <f t="shared" si="0"/>
        <v>1</v>
      </c>
      <c r="P62" s="269" t="b">
        <f t="shared" si="1"/>
        <v>1</v>
      </c>
      <c r="R62" s="1002" t="s">
        <v>902</v>
      </c>
      <c r="S62" s="269">
        <v>50241</v>
      </c>
      <c r="T62" s="269" t="b">
        <f t="shared" si="2"/>
        <v>1</v>
      </c>
      <c r="U62" s="269" t="b">
        <f t="shared" si="3"/>
        <v>1</v>
      </c>
    </row>
    <row r="63" spans="1:22" ht="15" thickBot="1" x14ac:dyDescent="0.35">
      <c r="A63" s="1137" t="s">
        <v>903</v>
      </c>
      <c r="B63" s="1136">
        <v>50521</v>
      </c>
      <c r="C63" s="723"/>
      <c r="D63" s="55"/>
      <c r="E63" s="56"/>
      <c r="M63" s="1159" t="s">
        <v>903</v>
      </c>
      <c r="N63" s="1160">
        <v>50521</v>
      </c>
      <c r="O63" s="269" t="b">
        <f t="shared" si="0"/>
        <v>1</v>
      </c>
      <c r="P63" s="269" t="b">
        <f t="shared" si="1"/>
        <v>1</v>
      </c>
      <c r="R63" s="1002" t="s">
        <v>903</v>
      </c>
      <c r="S63" s="269">
        <v>50521</v>
      </c>
      <c r="T63" s="269" t="b">
        <f t="shared" si="2"/>
        <v>1</v>
      </c>
      <c r="U63" s="269" t="b">
        <f t="shared" si="3"/>
        <v>1</v>
      </c>
    </row>
    <row r="64" spans="1:22" ht="15" thickBot="1" x14ac:dyDescent="0.35">
      <c r="A64" s="1137" t="s">
        <v>904</v>
      </c>
      <c r="B64" s="1136">
        <v>50242</v>
      </c>
      <c r="C64" s="723"/>
      <c r="D64" s="55"/>
      <c r="E64" s="56"/>
      <c r="M64" s="1159" t="s">
        <v>904</v>
      </c>
      <c r="N64" s="1160">
        <v>50242</v>
      </c>
      <c r="O64" s="269" t="b">
        <f t="shared" si="0"/>
        <v>1</v>
      </c>
      <c r="P64" s="269" t="b">
        <f t="shared" si="1"/>
        <v>1</v>
      </c>
      <c r="R64" s="1002" t="s">
        <v>904</v>
      </c>
      <c r="S64" s="269">
        <v>50242</v>
      </c>
      <c r="T64" s="269" t="b">
        <f t="shared" si="2"/>
        <v>1</v>
      </c>
      <c r="U64" s="269" t="b">
        <f t="shared" si="3"/>
        <v>1</v>
      </c>
    </row>
    <row r="65" spans="1:21" ht="15" thickBot="1" x14ac:dyDescent="0.35">
      <c r="A65" s="1137" t="s">
        <v>905</v>
      </c>
      <c r="B65" s="1136">
        <v>50244</v>
      </c>
      <c r="C65" s="723"/>
      <c r="D65" s="55"/>
      <c r="E65" s="56"/>
      <c r="M65" s="1159" t="s">
        <v>905</v>
      </c>
      <c r="N65" s="1160">
        <v>50244</v>
      </c>
      <c r="O65" s="269" t="b">
        <f t="shared" si="0"/>
        <v>1</v>
      </c>
      <c r="P65" s="269" t="b">
        <f t="shared" si="1"/>
        <v>1</v>
      </c>
      <c r="R65" s="1002" t="s">
        <v>905</v>
      </c>
      <c r="S65" s="269">
        <v>50244</v>
      </c>
      <c r="T65" s="269" t="b">
        <f t="shared" si="2"/>
        <v>1</v>
      </c>
      <c r="U65" s="269" t="b">
        <f t="shared" si="3"/>
        <v>1</v>
      </c>
    </row>
    <row r="66" spans="1:21" ht="15" thickBot="1" x14ac:dyDescent="0.35">
      <c r="A66" s="1137" t="s">
        <v>906</v>
      </c>
      <c r="B66" s="1136">
        <v>50243</v>
      </c>
      <c r="C66" s="723"/>
      <c r="D66" s="55"/>
      <c r="E66" s="56"/>
      <c r="M66" s="1159" t="s">
        <v>906</v>
      </c>
      <c r="N66" s="1160">
        <v>50243</v>
      </c>
      <c r="O66" s="269" t="b">
        <f t="shared" si="0"/>
        <v>1</v>
      </c>
      <c r="P66" s="269" t="b">
        <f t="shared" si="1"/>
        <v>1</v>
      </c>
      <c r="R66" s="1002" t="s">
        <v>906</v>
      </c>
      <c r="S66" s="269">
        <v>50243</v>
      </c>
      <c r="T66" s="269" t="b">
        <f t="shared" si="2"/>
        <v>1</v>
      </c>
      <c r="U66" s="269" t="b">
        <f t="shared" si="3"/>
        <v>1</v>
      </c>
    </row>
    <row r="67" spans="1:21" ht="15" thickBot="1" x14ac:dyDescent="0.35">
      <c r="A67" s="1137" t="s">
        <v>907</v>
      </c>
      <c r="B67" s="1136">
        <v>50245</v>
      </c>
      <c r="C67" s="723"/>
      <c r="D67" s="55"/>
      <c r="E67" s="56"/>
      <c r="M67" s="1159" t="s">
        <v>907</v>
      </c>
      <c r="N67" s="1160">
        <v>50245</v>
      </c>
      <c r="O67" s="269" t="b">
        <f t="shared" ref="O67:O77" si="4">EXACT(A67,M67)</f>
        <v>1</v>
      </c>
      <c r="P67" s="269" t="b">
        <f t="shared" ref="P67:P77" si="5">EXACT(B67,N67)</f>
        <v>1</v>
      </c>
      <c r="R67" s="1002" t="s">
        <v>907</v>
      </c>
      <c r="S67" s="269">
        <v>50245</v>
      </c>
      <c r="T67" s="269" t="b">
        <f t="shared" ref="T67:T77" si="6">EXACT(M67,R67)</f>
        <v>1</v>
      </c>
      <c r="U67" s="269" t="b">
        <f t="shared" ref="U67:U77" si="7">EXACT(N67,S67)</f>
        <v>1</v>
      </c>
    </row>
    <row r="68" spans="1:21" ht="15" thickBot="1" x14ac:dyDescent="0.35">
      <c r="A68" s="1137" t="s">
        <v>908</v>
      </c>
      <c r="B68" s="1136">
        <v>50522</v>
      </c>
      <c r="C68" s="723"/>
      <c r="D68" s="55"/>
      <c r="E68" s="56"/>
      <c r="M68" s="1159" t="s">
        <v>908</v>
      </c>
      <c r="N68" s="1160">
        <v>50522</v>
      </c>
      <c r="O68" s="269" t="b">
        <f t="shared" si="4"/>
        <v>1</v>
      </c>
      <c r="P68" s="269" t="b">
        <f t="shared" si="5"/>
        <v>1</v>
      </c>
      <c r="R68" s="1002" t="s">
        <v>908</v>
      </c>
      <c r="S68" s="269">
        <v>50522</v>
      </c>
      <c r="T68" s="269" t="b">
        <f t="shared" si="6"/>
        <v>1</v>
      </c>
      <c r="U68" s="269" t="b">
        <f t="shared" si="7"/>
        <v>1</v>
      </c>
    </row>
    <row r="69" spans="1:21" ht="15" thickBot="1" x14ac:dyDescent="0.35">
      <c r="A69" s="1137" t="s">
        <v>909</v>
      </c>
      <c r="B69" s="1136">
        <v>50246</v>
      </c>
      <c r="M69" s="1159" t="s">
        <v>909</v>
      </c>
      <c r="N69" s="1160">
        <v>50246</v>
      </c>
      <c r="O69" s="269" t="b">
        <f t="shared" si="4"/>
        <v>1</v>
      </c>
      <c r="P69" s="269" t="b">
        <f t="shared" si="5"/>
        <v>1</v>
      </c>
      <c r="R69" s="1002" t="s">
        <v>909</v>
      </c>
      <c r="S69" s="269">
        <v>50246</v>
      </c>
      <c r="T69" s="269" t="b">
        <f t="shared" si="6"/>
        <v>1</v>
      </c>
      <c r="U69" s="269" t="b">
        <f t="shared" si="7"/>
        <v>1</v>
      </c>
    </row>
    <row r="70" spans="1:21" ht="15" thickBot="1" x14ac:dyDescent="0.35">
      <c r="A70" s="1137" t="s">
        <v>910</v>
      </c>
      <c r="B70" s="1136">
        <v>50247</v>
      </c>
      <c r="M70" s="1159" t="s">
        <v>910</v>
      </c>
      <c r="N70" s="1160">
        <v>50247</v>
      </c>
      <c r="O70" s="269" t="b">
        <f t="shared" si="4"/>
        <v>1</v>
      </c>
      <c r="P70" s="269" t="b">
        <f t="shared" si="5"/>
        <v>1</v>
      </c>
      <c r="R70" s="1002" t="s">
        <v>910</v>
      </c>
      <c r="S70" s="269">
        <v>50247</v>
      </c>
      <c r="T70" s="269" t="b">
        <f t="shared" si="6"/>
        <v>1</v>
      </c>
      <c r="U70" s="269" t="b">
        <f t="shared" si="7"/>
        <v>1</v>
      </c>
    </row>
    <row r="71" spans="1:21" ht="15" thickBot="1" x14ac:dyDescent="0.35">
      <c r="A71" s="1137" t="s">
        <v>911</v>
      </c>
      <c r="B71" s="1136">
        <v>50248</v>
      </c>
      <c r="M71" s="1159" t="s">
        <v>911</v>
      </c>
      <c r="N71" s="1160">
        <v>50248</v>
      </c>
      <c r="O71" s="269" t="b">
        <f t="shared" si="4"/>
        <v>1</v>
      </c>
      <c r="P71" s="269" t="b">
        <f t="shared" si="5"/>
        <v>1</v>
      </c>
      <c r="R71" s="1002" t="s">
        <v>911</v>
      </c>
      <c r="S71" s="269">
        <v>50248</v>
      </c>
      <c r="T71" s="269" t="b">
        <f t="shared" si="6"/>
        <v>1</v>
      </c>
      <c r="U71" s="269" t="b">
        <f t="shared" si="7"/>
        <v>1</v>
      </c>
    </row>
    <row r="72" spans="1:21" ht="15" thickBot="1" x14ac:dyDescent="0.35">
      <c r="A72" s="1137" t="s">
        <v>912</v>
      </c>
      <c r="B72" s="1136">
        <v>50249</v>
      </c>
      <c r="M72" s="1159" t="s">
        <v>912</v>
      </c>
      <c r="N72" s="1160">
        <v>50249</v>
      </c>
      <c r="O72" s="269" t="b">
        <f t="shared" si="4"/>
        <v>1</v>
      </c>
      <c r="P72" s="269" t="b">
        <f t="shared" si="5"/>
        <v>1</v>
      </c>
      <c r="R72" s="1002" t="s">
        <v>912</v>
      </c>
      <c r="S72" s="269">
        <v>50249</v>
      </c>
      <c r="T72" s="269" t="b">
        <f t="shared" si="6"/>
        <v>1</v>
      </c>
      <c r="U72" s="269" t="b">
        <f t="shared" si="7"/>
        <v>1</v>
      </c>
    </row>
    <row r="73" spans="1:21" ht="15" thickBot="1" x14ac:dyDescent="0.35">
      <c r="A73" s="1137" t="s">
        <v>913</v>
      </c>
      <c r="B73" s="1136">
        <v>50250</v>
      </c>
      <c r="M73" s="1159" t="s">
        <v>913</v>
      </c>
      <c r="N73" s="1160">
        <v>50250</v>
      </c>
      <c r="O73" s="269" t="b">
        <f t="shared" si="4"/>
        <v>1</v>
      </c>
      <c r="P73" s="269" t="b">
        <f t="shared" si="5"/>
        <v>1</v>
      </c>
      <c r="R73" s="1002" t="s">
        <v>913</v>
      </c>
      <c r="S73" s="269">
        <v>50250</v>
      </c>
      <c r="T73" s="269" t="b">
        <f t="shared" si="6"/>
        <v>1</v>
      </c>
      <c r="U73" s="269" t="b">
        <f t="shared" si="7"/>
        <v>1</v>
      </c>
    </row>
    <row r="74" spans="1:21" ht="15" thickBot="1" x14ac:dyDescent="0.35">
      <c r="A74" s="1137" t="s">
        <v>914</v>
      </c>
      <c r="B74" s="1136">
        <v>50251</v>
      </c>
      <c r="M74" s="1159" t="s">
        <v>914</v>
      </c>
      <c r="N74" s="1160">
        <v>50251</v>
      </c>
      <c r="O74" s="269" t="b">
        <f t="shared" si="4"/>
        <v>1</v>
      </c>
      <c r="P74" s="269" t="b">
        <f t="shared" si="5"/>
        <v>1</v>
      </c>
      <c r="R74" s="1002" t="s">
        <v>914</v>
      </c>
      <c r="S74" s="269">
        <v>50251</v>
      </c>
      <c r="T74" s="269" t="b">
        <f t="shared" si="6"/>
        <v>1</v>
      </c>
      <c r="U74" s="269" t="b">
        <f t="shared" si="7"/>
        <v>1</v>
      </c>
    </row>
    <row r="75" spans="1:21" ht="15" thickBot="1" x14ac:dyDescent="0.35">
      <c r="A75" s="1137" t="s">
        <v>915</v>
      </c>
      <c r="B75" s="1136">
        <v>50252</v>
      </c>
      <c r="M75" s="1159" t="s">
        <v>915</v>
      </c>
      <c r="N75" s="1160">
        <v>50252</v>
      </c>
      <c r="O75" s="269" t="b">
        <f t="shared" si="4"/>
        <v>1</v>
      </c>
      <c r="P75" s="269" t="b">
        <f t="shared" si="5"/>
        <v>1</v>
      </c>
      <c r="R75" s="1002" t="s">
        <v>915</v>
      </c>
      <c r="S75" s="269">
        <v>50252</v>
      </c>
      <c r="T75" s="269" t="b">
        <f t="shared" si="6"/>
        <v>1</v>
      </c>
      <c r="U75" s="269" t="b">
        <f t="shared" si="7"/>
        <v>1</v>
      </c>
    </row>
    <row r="76" spans="1:21" ht="15" thickBot="1" x14ac:dyDescent="0.35">
      <c r="A76" s="1137" t="s">
        <v>916</v>
      </c>
      <c r="B76" s="1136">
        <v>50253</v>
      </c>
      <c r="M76" s="1159" t="s">
        <v>916</v>
      </c>
      <c r="N76" s="1160">
        <v>50253</v>
      </c>
      <c r="O76" s="269" t="b">
        <f t="shared" si="4"/>
        <v>1</v>
      </c>
      <c r="P76" s="269" t="b">
        <f t="shared" si="5"/>
        <v>1</v>
      </c>
      <c r="R76" s="1002" t="s">
        <v>916</v>
      </c>
      <c r="S76" s="269">
        <v>50253</v>
      </c>
      <c r="T76" s="269" t="b">
        <f t="shared" si="6"/>
        <v>1</v>
      </c>
      <c r="U76" s="269" t="b">
        <f t="shared" si="7"/>
        <v>1</v>
      </c>
    </row>
    <row r="77" spans="1:21" ht="15" thickBot="1" x14ac:dyDescent="0.35">
      <c r="A77" s="1137" t="s">
        <v>917</v>
      </c>
      <c r="B77" s="1136">
        <v>50454</v>
      </c>
      <c r="M77" s="1159" t="s">
        <v>917</v>
      </c>
      <c r="N77" s="1160">
        <v>50454</v>
      </c>
      <c r="O77" s="269" t="b">
        <f t="shared" si="4"/>
        <v>1</v>
      </c>
      <c r="P77" s="269" t="b">
        <f t="shared" si="5"/>
        <v>1</v>
      </c>
      <c r="R77" s="1002" t="s">
        <v>917</v>
      </c>
      <c r="S77" s="269">
        <v>50454</v>
      </c>
      <c r="T77" s="269" t="b">
        <f t="shared" si="6"/>
        <v>1</v>
      </c>
      <c r="U77" s="269" t="b">
        <f t="shared" si="7"/>
        <v>1</v>
      </c>
    </row>
  </sheetData>
  <sheetProtection algorithmName="SHA-512" hashValue="ffgHvegHDZBUSu1R6yBztGFTfYI5pmmvtmjKf+UzM+21FKK0k5LpPQh06WSW6try3ifc+prUFCXaNXDK+RUoLQ==" saltValue="+17BMIPvUpu//eYkylwfS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8" sqref="B8"/>
    </sheetView>
  </sheetViews>
  <sheetFormatPr defaultColWidth="9.109375" defaultRowHeight="14.4" x14ac:dyDescent="0.3"/>
  <cols>
    <col min="1" max="1" width="45.109375" style="415" customWidth="1"/>
    <col min="2" max="2" width="36.44140625" style="415" customWidth="1"/>
    <col min="3" max="3" width="9.109375" style="415"/>
    <col min="4" max="4" width="1.33203125" style="415" customWidth="1"/>
    <col min="5" max="5" width="37.5546875" style="415" customWidth="1"/>
    <col min="6" max="6" width="18.109375" style="415" customWidth="1"/>
    <col min="7" max="7" width="16.109375" style="415" customWidth="1"/>
    <col min="8" max="8" width="3.109375" style="415" customWidth="1"/>
    <col min="9" max="16384" width="9.109375" style="415"/>
  </cols>
  <sheetData>
    <row r="1" spans="1:8" x14ac:dyDescent="0.3">
      <c r="A1" s="416"/>
      <c r="B1" s="417"/>
      <c r="C1" s="418"/>
      <c r="D1" s="418"/>
      <c r="E1" s="419"/>
      <c r="F1" s="418"/>
      <c r="G1" s="418"/>
      <c r="H1" s="418"/>
    </row>
    <row r="2" spans="1:8" x14ac:dyDescent="0.3">
      <c r="A2" s="420" t="s">
        <v>1105</v>
      </c>
      <c r="B2" s="421" t="str">
        <f>+'Unit Data from Audit Worksheet'!D2</f>
        <v>Select Unit Name from Drop Down List</v>
      </c>
      <c r="C2" s="418"/>
      <c r="D2" s="418"/>
      <c r="E2" s="419"/>
      <c r="F2" s="418"/>
      <c r="G2" s="418"/>
      <c r="H2" s="418"/>
    </row>
    <row r="3" spans="1:8" x14ac:dyDescent="0.3">
      <c r="A3" s="420" t="s">
        <v>1217</v>
      </c>
      <c r="B3" s="418" t="e">
        <f>+'Unit Data from Audit Worksheet'!D3</f>
        <v>#N/A</v>
      </c>
      <c r="C3" s="418"/>
      <c r="D3" s="418"/>
      <c r="E3" s="419"/>
      <c r="F3" s="418"/>
      <c r="G3" s="418"/>
      <c r="H3" s="418"/>
    </row>
    <row r="4" spans="1:8" x14ac:dyDescent="0.3">
      <c r="A4" s="418"/>
      <c r="B4" s="418"/>
      <c r="C4" s="418"/>
      <c r="D4" s="418"/>
      <c r="E4" s="419"/>
      <c r="F4" s="418"/>
      <c r="G4" s="418"/>
      <c r="H4" s="418"/>
    </row>
    <row r="5" spans="1:8" x14ac:dyDescent="0.3">
      <c r="A5" s="1441" t="s">
        <v>1106</v>
      </c>
      <c r="B5" s="1441"/>
      <c r="C5" s="1441"/>
      <c r="D5" s="418"/>
      <c r="E5" s="1442" t="s">
        <v>1107</v>
      </c>
      <c r="F5" s="1442"/>
      <c r="G5" s="418"/>
      <c r="H5" s="418"/>
    </row>
    <row r="6" spans="1:8" ht="15" thickBot="1" x14ac:dyDescent="0.35">
      <c r="A6" s="422"/>
      <c r="B6" s="423"/>
      <c r="C6" s="422"/>
      <c r="D6" s="416"/>
      <c r="E6" s="422"/>
      <c r="F6" s="423"/>
      <c r="G6" s="423"/>
      <c r="H6" s="418"/>
    </row>
    <row r="7" spans="1:8" ht="15" thickBot="1" x14ac:dyDescent="0.35">
      <c r="A7" s="424" t="s">
        <v>1108</v>
      </c>
      <c r="B7" s="425">
        <v>0.03</v>
      </c>
      <c r="C7" s="425"/>
      <c r="D7" s="425"/>
      <c r="E7" s="425"/>
      <c r="F7" s="425"/>
      <c r="G7" s="425"/>
      <c r="H7" s="425"/>
    </row>
    <row r="8" spans="1:8" ht="15" thickBot="1" x14ac:dyDescent="0.35">
      <c r="A8" s="418" t="s">
        <v>1484</v>
      </c>
      <c r="B8" s="426" t="e">
        <f>HLOOKUP(B2,'2020 Data(H)'!F1:CC397,353,FALSE)</f>
        <v>#N/A</v>
      </c>
      <c r="C8" s="427"/>
      <c r="D8" s="427"/>
      <c r="E8" s="427"/>
      <c r="F8" s="418"/>
      <c r="G8" s="418"/>
      <c r="H8" s="418"/>
    </row>
    <row r="9" spans="1:8" ht="15" thickBot="1" x14ac:dyDescent="0.35">
      <c r="A9" s="418" t="s">
        <v>1110</v>
      </c>
      <c r="B9" s="428" t="e">
        <f>B8*B7</f>
        <v>#N/A</v>
      </c>
      <c r="C9" s="429"/>
      <c r="D9" s="429"/>
      <c r="E9" s="429"/>
      <c r="F9" s="418"/>
      <c r="G9" s="418"/>
      <c r="H9" s="418"/>
    </row>
    <row r="10" spans="1:8" ht="15" thickBot="1" x14ac:dyDescent="0.35">
      <c r="A10" s="418"/>
      <c r="B10" s="418"/>
      <c r="C10" s="418"/>
      <c r="D10" s="418"/>
      <c r="E10" s="418"/>
      <c r="F10" s="418"/>
      <c r="G10" s="418"/>
      <c r="H10" s="418"/>
    </row>
    <row r="11" spans="1:8" ht="15" thickBot="1" x14ac:dyDescent="0.35">
      <c r="A11" s="424" t="s">
        <v>1111</v>
      </c>
      <c r="B11" s="425">
        <v>0.05</v>
      </c>
      <c r="C11" s="425"/>
      <c r="D11" s="425"/>
      <c r="E11" s="425"/>
      <c r="F11" s="425"/>
      <c r="G11" s="425"/>
      <c r="H11" s="425"/>
    </row>
    <row r="12" spans="1:8" ht="15" thickBot="1" x14ac:dyDescent="0.35">
      <c r="A12" s="418" t="s">
        <v>1485</v>
      </c>
      <c r="B12" s="430" t="e">
        <f>HLOOKUP(B2,'2020 Data(H)'!F1:CC397,55,FALSE)</f>
        <v>#N/A</v>
      </c>
      <c r="C12" s="431"/>
      <c r="D12" s="431"/>
      <c r="E12" s="431"/>
      <c r="F12" s="418"/>
      <c r="G12" s="418"/>
      <c r="H12" s="418"/>
    </row>
    <row r="13" spans="1:8" ht="15" thickBot="1" x14ac:dyDescent="0.35">
      <c r="A13" s="418" t="s">
        <v>1110</v>
      </c>
      <c r="B13" s="428" t="e">
        <f>B12*B11</f>
        <v>#N/A</v>
      </c>
      <c r="C13" s="429"/>
      <c r="D13" s="429"/>
      <c r="E13" s="429"/>
      <c r="F13" s="418"/>
      <c r="G13" s="418"/>
      <c r="H13" s="418"/>
    </row>
    <row r="14" spans="1:8" ht="15" thickBot="1" x14ac:dyDescent="0.35">
      <c r="A14" s="418"/>
      <c r="B14" s="418"/>
      <c r="C14" s="418"/>
      <c r="D14" s="418"/>
      <c r="E14" s="432" t="s">
        <v>1112</v>
      </c>
      <c r="F14" s="433">
        <f>+Import!L177</f>
        <v>0</v>
      </c>
      <c r="G14" s="434"/>
      <c r="H14" s="418"/>
    </row>
    <row r="15" spans="1:8" x14ac:dyDescent="0.3">
      <c r="A15" s="418"/>
      <c r="B15" s="418"/>
      <c r="C15" s="418"/>
      <c r="D15" s="418"/>
      <c r="E15" s="418"/>
      <c r="F15" s="418"/>
      <c r="G15" s="418"/>
      <c r="H15" s="435"/>
    </row>
    <row r="16" spans="1:8" x14ac:dyDescent="0.3">
      <c r="A16" s="418"/>
      <c r="B16" s="432"/>
      <c r="C16" s="418"/>
      <c r="D16" s="418"/>
      <c r="E16" s="418"/>
      <c r="F16" s="418"/>
      <c r="G16" s="418"/>
      <c r="H16" s="418"/>
    </row>
    <row r="17" spans="1:8" x14ac:dyDescent="0.3">
      <c r="A17" s="422"/>
      <c r="B17" s="423"/>
      <c r="C17" s="422"/>
      <c r="D17" s="416"/>
      <c r="E17" s="422"/>
      <c r="F17" s="423"/>
      <c r="G17" s="423"/>
      <c r="H17" s="418"/>
    </row>
    <row r="18" spans="1:8" ht="15" thickBot="1" x14ac:dyDescent="0.35">
      <c r="A18" s="436" t="s">
        <v>1113</v>
      </c>
      <c r="B18" s="418"/>
      <c r="C18" s="418"/>
      <c r="D18" s="418"/>
      <c r="E18" s="436" t="s">
        <v>1113</v>
      </c>
      <c r="F18" s="420" t="s">
        <v>1114</v>
      </c>
      <c r="G18" s="420" t="s">
        <v>1115</v>
      </c>
      <c r="H18" s="418"/>
    </row>
    <row r="19" spans="1:8" ht="15" thickBot="1" x14ac:dyDescent="0.35">
      <c r="A19" s="418" t="s">
        <v>1109</v>
      </c>
      <c r="B19" s="426" t="e">
        <f>+B8</f>
        <v>#N/A</v>
      </c>
      <c r="C19" s="427"/>
      <c r="D19" s="427"/>
      <c r="E19" s="418" t="s">
        <v>1116</v>
      </c>
      <c r="F19" s="437">
        <f>+Import!L229</f>
        <v>0</v>
      </c>
      <c r="G19" s="438" t="e">
        <f>+B21</f>
        <v>#N/A</v>
      </c>
      <c r="H19" s="418"/>
    </row>
    <row r="20" spans="1:8" ht="15" thickBot="1" x14ac:dyDescent="0.35">
      <c r="A20" s="418" t="s">
        <v>1117</v>
      </c>
      <c r="B20" s="439">
        <f>+Import!L243</f>
        <v>0</v>
      </c>
      <c r="C20" s="418"/>
      <c r="D20" s="418"/>
      <c r="E20" s="418"/>
      <c r="F20" s="440"/>
      <c r="G20" s="418"/>
      <c r="H20" s="418"/>
    </row>
    <row r="21" spans="1:8" ht="15" thickBot="1" x14ac:dyDescent="0.35">
      <c r="A21" s="418" t="s">
        <v>1110</v>
      </c>
      <c r="B21" s="428" t="e">
        <f>ROUND((B19/100)*B20,0)</f>
        <v>#N/A</v>
      </c>
      <c r="C21" s="441"/>
      <c r="D21" s="429"/>
      <c r="E21" s="418"/>
      <c r="F21" s="418"/>
      <c r="G21" s="418"/>
      <c r="H21" s="418"/>
    </row>
    <row r="22" spans="1:8" ht="15" thickBot="1" x14ac:dyDescent="0.35">
      <c r="A22" s="418"/>
      <c r="B22" s="418"/>
      <c r="C22" s="442"/>
      <c r="D22" s="442"/>
      <c r="E22" s="418"/>
      <c r="F22" s="418"/>
      <c r="G22" s="418"/>
      <c r="H22" s="418"/>
    </row>
    <row r="23" spans="1:8" ht="15" thickBot="1" x14ac:dyDescent="0.35">
      <c r="A23" s="432"/>
      <c r="B23" s="443"/>
      <c r="C23" s="418"/>
      <c r="D23" s="418"/>
      <c r="E23" s="444" t="s">
        <v>1118</v>
      </c>
      <c r="F23" s="428">
        <f>IF(F19=0,F14-F19,F14-MAX(F19,G19))</f>
        <v>0</v>
      </c>
      <c r="G23" s="445"/>
      <c r="H23" s="429"/>
    </row>
    <row r="24" spans="1:8" x14ac:dyDescent="0.3">
      <c r="A24" s="418"/>
      <c r="B24" s="418"/>
      <c r="C24" s="418"/>
      <c r="D24" s="418"/>
      <c r="E24" s="418"/>
      <c r="F24" s="441"/>
      <c r="G24" s="441"/>
      <c r="H24" s="429"/>
    </row>
    <row r="25" spans="1:8" x14ac:dyDescent="0.3">
      <c r="A25" s="422"/>
      <c r="B25" s="423"/>
      <c r="C25" s="422"/>
      <c r="D25" s="416"/>
      <c r="E25" s="422"/>
      <c r="F25" s="423"/>
      <c r="G25" s="423"/>
      <c r="H25" s="418"/>
    </row>
    <row r="26" spans="1:8" ht="15" thickBot="1" x14ac:dyDescent="0.35">
      <c r="A26" s="418"/>
      <c r="B26" s="418"/>
      <c r="C26" s="418"/>
      <c r="D26" s="436"/>
      <c r="E26" s="436" t="s">
        <v>1119</v>
      </c>
      <c r="F26" s="436"/>
      <c r="G26" s="436"/>
      <c r="H26" s="436"/>
    </row>
    <row r="27" spans="1:8" ht="15" thickBot="1" x14ac:dyDescent="0.35">
      <c r="A27" s="418"/>
      <c r="B27" s="418"/>
      <c r="C27" s="418"/>
      <c r="D27" s="442"/>
      <c r="E27" s="418" t="s">
        <v>1120</v>
      </c>
      <c r="F27" s="446" t="e">
        <f>MAX(B9,B13)</f>
        <v>#N/A</v>
      </c>
      <c r="G27" s="442"/>
      <c r="H27" s="418"/>
    </row>
    <row r="28" spans="1:8" ht="15" thickBot="1" x14ac:dyDescent="0.35">
      <c r="A28" s="418"/>
      <c r="B28" s="418"/>
      <c r="C28" s="418"/>
      <c r="D28" s="442"/>
      <c r="E28" s="418"/>
      <c r="F28" s="442"/>
      <c r="G28" s="442"/>
      <c r="H28" s="418"/>
    </row>
    <row r="29" spans="1:8" ht="33.75" customHeight="1" x14ac:dyDescent="0.3">
      <c r="A29" s="418"/>
      <c r="B29" s="418"/>
      <c r="C29" s="418"/>
      <c r="D29" s="447"/>
      <c r="E29" s="418" t="s">
        <v>1121</v>
      </c>
      <c r="F29" s="448" t="e">
        <f>IF(F23&lt;=F27,"Yes", "No, unit exceeds limit by:")</f>
        <v>#N/A</v>
      </c>
      <c r="G29" s="418"/>
      <c r="H29" s="418"/>
    </row>
    <row r="30" spans="1:8" ht="15" thickBot="1" x14ac:dyDescent="0.35">
      <c r="A30" s="418"/>
      <c r="B30" s="418"/>
      <c r="C30" s="418"/>
      <c r="D30" s="447"/>
      <c r="E30" s="418"/>
      <c r="F30" s="449" t="e">
        <f>IF(F23-F27&lt;=0,0,F23-F27)</f>
        <v>#N/A</v>
      </c>
      <c r="G30" s="450"/>
      <c r="H30" s="418"/>
    </row>
    <row r="31" spans="1:8" ht="15" thickBot="1" x14ac:dyDescent="0.35">
      <c r="A31" s="418"/>
      <c r="B31" s="418"/>
      <c r="C31" s="418"/>
      <c r="D31" s="418"/>
      <c r="E31" s="418"/>
      <c r="F31" s="418"/>
      <c r="G31" s="418"/>
      <c r="H31" s="418"/>
    </row>
    <row r="32" spans="1:8" x14ac:dyDescent="0.3">
      <c r="A32" s="418"/>
      <c r="B32" s="418"/>
      <c r="C32" s="418"/>
      <c r="D32" s="418"/>
      <c r="E32" s="444" t="s">
        <v>1122</v>
      </c>
      <c r="F32" s="451">
        <f>IF(F19=0,0,F19-G19)</f>
        <v>0</v>
      </c>
      <c r="G32" s="418"/>
      <c r="H32" s="418"/>
    </row>
    <row r="33" spans="1:7" ht="15" thickBot="1" x14ac:dyDescent="0.35">
      <c r="A33" s="418"/>
      <c r="B33" s="418"/>
      <c r="C33" s="418"/>
      <c r="D33" s="418"/>
      <c r="E33" s="418"/>
      <c r="F33" s="452" t="s">
        <v>706</v>
      </c>
      <c r="G33" s="418"/>
    </row>
    <row r="34" spans="1:7" x14ac:dyDescent="0.3">
      <c r="A34" s="416"/>
      <c r="B34" s="418"/>
      <c r="C34" s="418"/>
      <c r="D34" s="418"/>
      <c r="E34" s="416" t="s">
        <v>1123</v>
      </c>
      <c r="F34" s="418"/>
      <c r="G34" s="418"/>
    </row>
    <row r="35" spans="1:7" x14ac:dyDescent="0.3">
      <c r="A35" s="453"/>
      <c r="B35" s="453"/>
      <c r="C35" s="453"/>
      <c r="D35" s="418"/>
      <c r="E35" s="1443" t="s">
        <v>1486</v>
      </c>
      <c r="F35" s="1444"/>
      <c r="G35" s="1445"/>
    </row>
    <row r="36" spans="1:7" x14ac:dyDescent="0.3">
      <c r="A36" s="453"/>
      <c r="B36" s="453"/>
      <c r="C36" s="453"/>
      <c r="D36" s="418"/>
      <c r="E36" s="1446"/>
      <c r="F36" s="1447"/>
      <c r="G36" s="1448"/>
    </row>
    <row r="37" spans="1:7" x14ac:dyDescent="0.3">
      <c r="A37" s="453"/>
      <c r="B37" s="453"/>
      <c r="C37" s="453"/>
      <c r="D37" s="418"/>
      <c r="E37" s="1446"/>
      <c r="F37" s="1447"/>
      <c r="G37" s="1448"/>
    </row>
    <row r="38" spans="1:7" x14ac:dyDescent="0.3">
      <c r="A38" s="453"/>
      <c r="B38" s="453"/>
      <c r="C38" s="453"/>
      <c r="D38" s="418"/>
      <c r="E38" s="1449"/>
      <c r="F38" s="1450"/>
      <c r="G38" s="1451"/>
    </row>
    <row r="39" spans="1:7" x14ac:dyDescent="0.3">
      <c r="A39" s="453"/>
      <c r="B39" s="453"/>
      <c r="C39" s="453"/>
      <c r="D39" s="418"/>
      <c r="E39" s="454"/>
      <c r="F39" s="454"/>
      <c r="G39" s="454"/>
    </row>
    <row r="40" spans="1:7" x14ac:dyDescent="0.3">
      <c r="A40" s="453"/>
      <c r="B40" s="453"/>
      <c r="C40" s="453"/>
      <c r="D40" s="418"/>
      <c r="E40" s="1443" t="s">
        <v>1487</v>
      </c>
      <c r="F40" s="1444"/>
      <c r="G40" s="1445"/>
    </row>
    <row r="41" spans="1:7" x14ac:dyDescent="0.3">
      <c r="A41" s="418"/>
      <c r="B41" s="418"/>
      <c r="C41" s="418"/>
      <c r="D41" s="418"/>
      <c r="E41" s="1446"/>
      <c r="F41" s="1447"/>
      <c r="G41" s="1448"/>
    </row>
    <row r="42" spans="1:7" x14ac:dyDescent="0.3">
      <c r="A42" s="418"/>
      <c r="B42" s="418"/>
      <c r="C42" s="418"/>
      <c r="D42" s="418"/>
      <c r="E42" s="1449"/>
      <c r="F42" s="1450"/>
      <c r="G42" s="1451"/>
    </row>
    <row r="43" spans="1:7" x14ac:dyDescent="0.3">
      <c r="A43" s="418"/>
      <c r="B43" s="418"/>
      <c r="C43" s="418"/>
      <c r="D43" s="418"/>
      <c r="E43" s="418"/>
      <c r="F43" s="418"/>
      <c r="G43" s="418"/>
    </row>
    <row r="44" spans="1:7" ht="15" thickBot="1" x14ac:dyDescent="0.35">
      <c r="A44" s="418"/>
      <c r="B44" s="418"/>
      <c r="C44" s="418"/>
      <c r="D44" s="418"/>
      <c r="E44" s="1452" t="s">
        <v>1124</v>
      </c>
      <c r="F44" s="1452"/>
      <c r="G44" s="1452"/>
    </row>
    <row r="45" spans="1:7" x14ac:dyDescent="0.3">
      <c r="A45" s="418"/>
      <c r="B45" s="418"/>
      <c r="C45" s="418"/>
      <c r="D45" s="418"/>
      <c r="E45" s="1432"/>
      <c r="F45" s="1433"/>
      <c r="G45" s="1434"/>
    </row>
    <row r="46" spans="1:7" x14ac:dyDescent="0.3">
      <c r="A46" s="418"/>
      <c r="B46" s="418"/>
      <c r="C46" s="418"/>
      <c r="D46" s="418"/>
      <c r="E46" s="1435"/>
      <c r="F46" s="1436"/>
      <c r="G46" s="1437"/>
    </row>
    <row r="47" spans="1:7" x14ac:dyDescent="0.3">
      <c r="A47" s="418"/>
      <c r="B47" s="418"/>
      <c r="C47" s="418"/>
      <c r="D47" s="418"/>
      <c r="E47" s="1435"/>
      <c r="F47" s="1436"/>
      <c r="G47" s="1437"/>
    </row>
    <row r="48" spans="1:7" x14ac:dyDescent="0.3">
      <c r="A48" s="418"/>
      <c r="B48" s="418"/>
      <c r="C48" s="418"/>
      <c r="D48" s="418"/>
      <c r="E48" s="1435"/>
      <c r="F48" s="1436"/>
      <c r="G48" s="1437"/>
    </row>
    <row r="49" spans="5:7" x14ac:dyDescent="0.3">
      <c r="E49" s="1435"/>
      <c r="F49" s="1436"/>
      <c r="G49" s="1437"/>
    </row>
    <row r="50" spans="5:7" x14ac:dyDescent="0.3">
      <c r="E50" s="1435"/>
      <c r="F50" s="1436"/>
      <c r="G50" s="1437"/>
    </row>
    <row r="51" spans="5:7" x14ac:dyDescent="0.3">
      <c r="E51" s="1435"/>
      <c r="F51" s="1436"/>
      <c r="G51" s="1437"/>
    </row>
    <row r="52" spans="5:7" x14ac:dyDescent="0.3">
      <c r="E52" s="1435"/>
      <c r="F52" s="1436"/>
      <c r="G52" s="1437"/>
    </row>
    <row r="53" spans="5:7" x14ac:dyDescent="0.3">
      <c r="E53" s="1435"/>
      <c r="F53" s="1436"/>
      <c r="G53" s="1437"/>
    </row>
    <row r="54" spans="5:7" x14ac:dyDescent="0.3">
      <c r="E54" s="1435"/>
      <c r="F54" s="1436"/>
      <c r="G54" s="1437"/>
    </row>
    <row r="55" spans="5:7" x14ac:dyDescent="0.3">
      <c r="E55" s="1435"/>
      <c r="F55" s="1436"/>
      <c r="G55" s="1437"/>
    </row>
    <row r="56" spans="5:7" ht="15" thickBot="1" x14ac:dyDescent="0.35">
      <c r="E56" s="1438"/>
      <c r="F56" s="1439"/>
      <c r="G56" s="1440"/>
    </row>
  </sheetData>
  <sheetProtection algorithmName="SHA-512" hashValue="uRulNYXE4KrLy/5CDXQ6rVggsX6LTAdGMjc+vUovlP+b5yCIGAPK97LSd+huOzW1JjS6W4Dp8Hv+GA7+CTjb0g==" saltValue="FXRn3xWjHozyJ+vPvPcoG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A2" sqref="A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41" customWidth="1"/>
    <col min="5" max="5" width="17.109375" style="18" customWidth="1"/>
    <col min="6" max="6" width="21.5546875" style="741" customWidth="1"/>
    <col min="7" max="7" width="26.6640625" style="835" customWidth="1"/>
    <col min="8" max="8" width="25.109375" style="625" customWidth="1"/>
    <col min="9" max="9" width="24" style="741"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304" hidden="1" customWidth="1"/>
    <col min="15" max="15" width="2.109375" style="18" hidden="1" customWidth="1"/>
    <col min="16" max="16" width="0" style="18" hidden="1" customWidth="1"/>
    <col min="17" max="17" width="15.109375" style="18" hidden="1" customWidth="1"/>
    <col min="18" max="25" width="9.109375" style="18"/>
    <col min="26" max="26" width="30.6640625" style="667" customWidth="1"/>
    <col min="27" max="1881" width="9.109375" style="18"/>
    <col min="1882" max="16384" width="9.109375" style="741"/>
  </cols>
  <sheetData>
    <row r="1" spans="1:44" ht="15" thickBot="1" x14ac:dyDescent="0.35">
      <c r="B1" s="837" t="s">
        <v>760</v>
      </c>
      <c r="C1" s="837"/>
      <c r="E1" s="744" t="s">
        <v>36</v>
      </c>
      <c r="F1" s="745">
        <v>2021</v>
      </c>
      <c r="G1" s="122" t="s">
        <v>126</v>
      </c>
      <c r="H1" s="746"/>
      <c r="I1" s="747"/>
      <c r="J1" s="748" t="s">
        <v>1401</v>
      </c>
      <c r="M1" s="18" t="s">
        <v>51</v>
      </c>
      <c r="O1" s="18">
        <v>1</v>
      </c>
    </row>
    <row r="2" spans="1:44" ht="44.25" customHeight="1" thickBot="1" x14ac:dyDescent="0.35">
      <c r="B2" s="1277" t="s">
        <v>525</v>
      </c>
      <c r="C2" s="1278"/>
      <c r="D2" s="749" t="s">
        <v>1700</v>
      </c>
      <c r="E2" s="1275" t="s">
        <v>539</v>
      </c>
      <c r="F2" s="1275"/>
      <c r="G2" s="1276"/>
      <c r="H2" s="750"/>
      <c r="I2" s="1266" t="s">
        <v>1855</v>
      </c>
      <c r="M2" s="18" t="s">
        <v>52</v>
      </c>
      <c r="N2" s="304">
        <v>50</v>
      </c>
      <c r="O2" s="18">
        <v>2</v>
      </c>
    </row>
    <row r="3" spans="1:44" ht="15" thickBot="1" x14ac:dyDescent="0.35">
      <c r="B3" s="838" t="s">
        <v>0</v>
      </c>
      <c r="C3" s="839"/>
      <c r="D3" s="751" t="e">
        <f>VLOOKUP(D2,'Unit Names(H)'!A2:B151,2,FALSE)</f>
        <v>#N/A</v>
      </c>
      <c r="E3" s="947"/>
      <c r="F3" s="752"/>
      <c r="G3" s="753"/>
      <c r="H3" s="750"/>
      <c r="N3" s="304">
        <v>51</v>
      </c>
      <c r="O3" s="18">
        <v>3</v>
      </c>
    </row>
    <row r="4" spans="1:44" ht="15" thickBot="1" x14ac:dyDescent="0.35">
      <c r="B4" s="840" t="s">
        <v>1533</v>
      </c>
      <c r="C4" s="841"/>
      <c r="D4" s="754"/>
      <c r="E4" s="754"/>
      <c r="F4" s="755"/>
      <c r="G4" s="756"/>
      <c r="H4" s="750"/>
      <c r="I4" s="2"/>
      <c r="M4" s="18" t="s">
        <v>605</v>
      </c>
      <c r="N4" s="304">
        <v>52</v>
      </c>
      <c r="O4" s="18">
        <v>4</v>
      </c>
    </row>
    <row r="5" spans="1:44" ht="37.5" customHeight="1" x14ac:dyDescent="0.3">
      <c r="A5" s="703" t="s">
        <v>757</v>
      </c>
      <c r="B5" s="592" t="s">
        <v>111</v>
      </c>
      <c r="C5" s="592" t="s">
        <v>128</v>
      </c>
      <c r="D5" s="757" t="s">
        <v>1</v>
      </c>
      <c r="E5" s="757">
        <v>2020</v>
      </c>
      <c r="F5" s="758">
        <v>2021</v>
      </c>
      <c r="G5" s="759" t="s">
        <v>1655</v>
      </c>
      <c r="H5" s="760" t="s">
        <v>545</v>
      </c>
      <c r="I5" s="745" t="s">
        <v>13</v>
      </c>
      <c r="M5" s="18" t="s">
        <v>834</v>
      </c>
    </row>
    <row r="6" spans="1:44" ht="22.5" customHeight="1" x14ac:dyDescent="0.3">
      <c r="A6" s="591"/>
      <c r="B6" s="886" t="s">
        <v>127</v>
      </c>
      <c r="C6" s="887"/>
      <c r="D6" s="888"/>
      <c r="E6" s="889"/>
      <c r="F6" s="890"/>
      <c r="G6" s="882"/>
      <c r="H6" s="17"/>
      <c r="M6" s="18" t="s">
        <v>813</v>
      </c>
    </row>
    <row r="7" spans="1:44" s="18" customFormat="1" ht="63.75" customHeight="1" thickBot="1" x14ac:dyDescent="0.35">
      <c r="A7" s="107">
        <v>333</v>
      </c>
      <c r="B7" s="667" t="s">
        <v>67</v>
      </c>
      <c r="C7" s="667" t="s">
        <v>129</v>
      </c>
      <c r="D7" s="740" t="s">
        <v>1534</v>
      </c>
      <c r="E7" s="701" t="e">
        <f>HLOOKUP($D$2,'2020 Data(H)'!$C$1:$CZ$428,99,FALSE)</f>
        <v>#N/A</v>
      </c>
      <c r="F7" s="303">
        <v>0</v>
      </c>
      <c r="G7" s="762">
        <f>IF(F7&lt;0,"Note: Number is normally positive.",)</f>
        <v>0</v>
      </c>
      <c r="H7" s="763"/>
      <c r="I7" s="764"/>
      <c r="J7" s="607" t="s">
        <v>1380</v>
      </c>
      <c r="L7" s="727"/>
      <c r="M7" s="18" t="s">
        <v>835</v>
      </c>
      <c r="N7" s="304"/>
      <c r="Q7" s="303">
        <v>475882</v>
      </c>
      <c r="Z7" s="107"/>
      <c r="AA7" s="107"/>
      <c r="AB7" s="107"/>
      <c r="AC7" s="107"/>
      <c r="AD7" s="107"/>
      <c r="AE7" s="107"/>
      <c r="AF7" s="107"/>
      <c r="AG7" s="107"/>
      <c r="AH7" s="107"/>
      <c r="AI7" s="107"/>
      <c r="AJ7" s="107"/>
      <c r="AK7" s="107"/>
      <c r="AL7" s="107"/>
      <c r="AM7" s="107"/>
      <c r="AN7" s="107"/>
      <c r="AO7" s="107"/>
      <c r="AP7" s="107"/>
      <c r="AQ7" s="107"/>
      <c r="AR7" s="107"/>
    </row>
    <row r="8" spans="1:44" s="18" customFormat="1" ht="51" customHeight="1" thickBot="1" x14ac:dyDescent="0.35">
      <c r="A8" s="107">
        <v>500</v>
      </c>
      <c r="B8" s="667" t="s">
        <v>55</v>
      </c>
      <c r="C8" s="667" t="s">
        <v>129</v>
      </c>
      <c r="D8" s="740" t="s">
        <v>1535</v>
      </c>
      <c r="E8" s="701" t="e">
        <f>HLOOKUP($D$2,'2020 Data(H)'!$C$1:$CZ$428,150,FALSE)</f>
        <v>#N/A</v>
      </c>
      <c r="F8" s="303">
        <v>0</v>
      </c>
      <c r="G8" s="762">
        <f>IF(F8&lt;0,"Note: Number is normally positive.",)</f>
        <v>0</v>
      </c>
      <c r="H8" s="763"/>
      <c r="I8" s="763"/>
      <c r="J8" s="607"/>
      <c r="L8" s="736"/>
      <c r="M8" s="18" t="s">
        <v>836</v>
      </c>
      <c r="N8" s="304"/>
      <c r="Q8" s="303">
        <v>1528687</v>
      </c>
      <c r="Z8" s="107"/>
      <c r="AA8" s="107"/>
      <c r="AB8" s="107"/>
      <c r="AC8" s="107"/>
      <c r="AD8" s="107"/>
      <c r="AE8" s="107"/>
      <c r="AF8" s="107"/>
      <c r="AG8" s="107"/>
      <c r="AH8" s="107"/>
      <c r="AI8" s="107"/>
      <c r="AJ8" s="107"/>
      <c r="AK8" s="107"/>
      <c r="AL8" s="107"/>
      <c r="AM8" s="107"/>
      <c r="AN8" s="107"/>
      <c r="AO8" s="107"/>
      <c r="AP8" s="107"/>
      <c r="AQ8" s="107"/>
      <c r="AR8" s="107"/>
    </row>
    <row r="9" spans="1:44" ht="51" customHeight="1" thickBot="1" x14ac:dyDescent="0.35">
      <c r="A9" s="107">
        <v>385</v>
      </c>
      <c r="B9" s="625" t="s">
        <v>60</v>
      </c>
      <c r="C9" s="667" t="s">
        <v>129</v>
      </c>
      <c r="D9" s="106" t="s">
        <v>130</v>
      </c>
      <c r="E9" s="701" t="e">
        <f>HLOOKUP($D$2,'2020 Data(H)'!$C$1:$CZ$428,144,FALSE)-E11</f>
        <v>#N/A</v>
      </c>
      <c r="F9" s="303">
        <v>0</v>
      </c>
      <c r="G9" s="762">
        <f>IF((F7+F8)&gt;F9,"Error: Please review Account numbers (333+500)&gt;385",)</f>
        <v>0</v>
      </c>
      <c r="H9" s="17"/>
      <c r="I9" s="763"/>
      <c r="J9" s="607"/>
      <c r="L9" s="736"/>
      <c r="Q9" s="303">
        <v>4566372</v>
      </c>
      <c r="Z9" s="107"/>
      <c r="AA9" s="107"/>
      <c r="AB9" s="107"/>
      <c r="AC9" s="107"/>
      <c r="AD9" s="107"/>
      <c r="AE9" s="107"/>
      <c r="AF9" s="107"/>
      <c r="AG9" s="107"/>
      <c r="AH9" s="107"/>
      <c r="AI9" s="107"/>
      <c r="AJ9" s="107"/>
      <c r="AK9" s="107"/>
      <c r="AL9" s="107"/>
      <c r="AM9" s="107"/>
      <c r="AN9" s="107"/>
      <c r="AO9" s="107"/>
      <c r="AP9" s="107"/>
      <c r="AQ9" s="107"/>
      <c r="AR9" s="107"/>
    </row>
    <row r="10" spans="1:44" s="18" customFormat="1" ht="90" customHeight="1" thickBot="1" x14ac:dyDescent="0.35">
      <c r="A10" s="107">
        <v>575</v>
      </c>
      <c r="B10" s="667" t="s">
        <v>70</v>
      </c>
      <c r="C10" s="667" t="s">
        <v>129</v>
      </c>
      <c r="D10" s="842" t="s">
        <v>1536</v>
      </c>
      <c r="E10" s="701" t="e">
        <f>HLOOKUP($D$2,'2020 Data(H)'!$C$1:$CZ$428,225,FALSE)</f>
        <v>#N/A</v>
      </c>
      <c r="F10" s="303">
        <v>0</v>
      </c>
      <c r="G10" s="762">
        <f>IF(F10&lt;0,"Note: Number is normally positive.",)</f>
        <v>0</v>
      </c>
      <c r="H10" s="765"/>
      <c r="I10" s="766"/>
      <c r="L10" s="736"/>
      <c r="N10" s="304"/>
      <c r="Q10" s="303">
        <v>0</v>
      </c>
      <c r="Z10" s="107"/>
      <c r="AA10" s="107"/>
      <c r="AB10" s="107"/>
      <c r="AC10" s="107"/>
      <c r="AD10" s="107"/>
      <c r="AE10" s="107"/>
      <c r="AF10" s="107"/>
      <c r="AG10" s="107"/>
      <c r="AH10" s="107"/>
      <c r="AI10" s="107"/>
      <c r="AJ10" s="107"/>
      <c r="AK10" s="107"/>
      <c r="AL10" s="107"/>
      <c r="AM10" s="107"/>
      <c r="AN10" s="107"/>
      <c r="AO10" s="107"/>
      <c r="AP10" s="107"/>
      <c r="AQ10" s="107"/>
      <c r="AR10" s="107"/>
    </row>
    <row r="11" spans="1:44" s="18" customFormat="1" ht="93.75" customHeight="1" thickBot="1" x14ac:dyDescent="0.35">
      <c r="A11" s="107">
        <v>576</v>
      </c>
      <c r="B11" s="667" t="s">
        <v>70</v>
      </c>
      <c r="C11" s="667" t="s">
        <v>129</v>
      </c>
      <c r="D11" s="842" t="s">
        <v>1537</v>
      </c>
      <c r="E11" s="701" t="e">
        <f>HLOOKUP($D$2,'2020 Data(H)'!$C$1:$CZ$428,226,FALSE)</f>
        <v>#N/A</v>
      </c>
      <c r="F11" s="303">
        <v>0</v>
      </c>
      <c r="G11" s="762">
        <f>IF(F11&lt;0,"Error: Enter as positive.",)</f>
        <v>0</v>
      </c>
      <c r="H11" s="765"/>
      <c r="I11" s="766"/>
      <c r="J11" s="607"/>
      <c r="L11" s="736"/>
      <c r="N11" s="304"/>
      <c r="Q11" s="303">
        <v>0</v>
      </c>
      <c r="Z11" s="107"/>
      <c r="AA11" s="107"/>
      <c r="AB11" s="107"/>
      <c r="AC11" s="107"/>
      <c r="AD11" s="107"/>
      <c r="AE11" s="107"/>
      <c r="AF11" s="107"/>
      <c r="AG11" s="107"/>
      <c r="AH11" s="107"/>
      <c r="AI11" s="107"/>
      <c r="AJ11" s="107"/>
      <c r="AK11" s="107"/>
      <c r="AL11" s="107"/>
      <c r="AM11" s="107"/>
      <c r="AN11" s="107"/>
      <c r="AO11" s="107"/>
      <c r="AP11" s="107"/>
      <c r="AQ11" s="107"/>
      <c r="AR11" s="107"/>
    </row>
    <row r="12" spans="1:44" ht="85.5" customHeight="1" thickBot="1" x14ac:dyDescent="0.35">
      <c r="A12" s="317">
        <v>626</v>
      </c>
      <c r="B12" s="843" t="s">
        <v>935</v>
      </c>
      <c r="C12" s="843" t="s">
        <v>129</v>
      </c>
      <c r="D12" s="346" t="s">
        <v>1538</v>
      </c>
      <c r="E12" s="701" t="e">
        <f>HLOOKUP($D$2,'2020 Data(H)'!$C$1:$CZ$428,285,FALSE)-E11</f>
        <v>#N/A</v>
      </c>
      <c r="F12" s="303">
        <v>0</v>
      </c>
      <c r="G12" s="762">
        <f>IF(F12&lt;0,"Error: Enter as positive.",)</f>
        <v>0</v>
      </c>
      <c r="H12" s="767"/>
      <c r="I12" s="767"/>
      <c r="J12" s="607"/>
      <c r="L12" s="736"/>
      <c r="Q12" s="303">
        <v>136667</v>
      </c>
      <c r="Z12" s="317"/>
      <c r="AA12" s="317"/>
      <c r="AB12" s="317"/>
      <c r="AC12" s="317"/>
      <c r="AD12" s="317"/>
      <c r="AE12" s="317"/>
      <c r="AF12" s="317"/>
      <c r="AG12" s="317"/>
      <c r="AH12" s="317"/>
      <c r="AI12" s="317"/>
      <c r="AJ12" s="317"/>
      <c r="AK12" s="317"/>
      <c r="AL12" s="317"/>
      <c r="AM12" s="317"/>
      <c r="AN12" s="317"/>
      <c r="AO12" s="317"/>
      <c r="AP12" s="317"/>
      <c r="AQ12" s="317"/>
      <c r="AR12" s="317"/>
    </row>
    <row r="13" spans="1:44" ht="89.25" customHeight="1" thickBot="1" x14ac:dyDescent="0.35">
      <c r="A13" s="316">
        <v>627</v>
      </c>
      <c r="B13" s="844" t="s">
        <v>725</v>
      </c>
      <c r="C13" s="843" t="s">
        <v>129</v>
      </c>
      <c r="D13" s="346" t="s">
        <v>1539</v>
      </c>
      <c r="E13" s="701" t="e">
        <f>HLOOKUP($D$2,'2020 Data(H)'!$C$1:$CZ$428,286,FALSE)</f>
        <v>#N/A</v>
      </c>
      <c r="F13" s="303">
        <v>0</v>
      </c>
      <c r="G13" s="762">
        <f>IF(F13&gt;F12,"Please review account numbers 627 &gt;626",)</f>
        <v>0</v>
      </c>
      <c r="H13" s="767"/>
      <c r="I13" s="767"/>
      <c r="J13" s="607"/>
      <c r="L13" s="736"/>
      <c r="Q13" s="303">
        <v>0</v>
      </c>
      <c r="Z13" s="316"/>
      <c r="AA13" s="316"/>
      <c r="AB13" s="316"/>
      <c r="AC13" s="316"/>
      <c r="AD13" s="316"/>
      <c r="AE13" s="316"/>
      <c r="AF13" s="316"/>
      <c r="AG13" s="316"/>
      <c r="AH13" s="316"/>
      <c r="AI13" s="316"/>
      <c r="AJ13" s="316"/>
      <c r="AK13" s="316"/>
      <c r="AL13" s="316"/>
      <c r="AM13" s="316"/>
      <c r="AN13" s="316"/>
      <c r="AO13" s="316"/>
      <c r="AP13" s="316"/>
      <c r="AQ13" s="316"/>
      <c r="AR13" s="316"/>
    </row>
    <row r="14" spans="1:44" ht="105" customHeight="1" thickBot="1" x14ac:dyDescent="0.35">
      <c r="A14" s="316">
        <v>628</v>
      </c>
      <c r="B14" s="844" t="s">
        <v>725</v>
      </c>
      <c r="C14" s="843" t="s">
        <v>129</v>
      </c>
      <c r="D14" s="346" t="s">
        <v>1540</v>
      </c>
      <c r="E14" s="701" t="e">
        <f>HLOOKUP($D$2,'2020 Data(H)'!$C$1:$CZ$428,287,FALSE)</f>
        <v>#N/A</v>
      </c>
      <c r="F14" s="303">
        <v>0</v>
      </c>
      <c r="G14" s="762">
        <f>IF(F14&gt;F12,"Please review account numbers 628 &gt; 626",)</f>
        <v>0</v>
      </c>
      <c r="H14" s="767"/>
      <c r="I14" s="767"/>
      <c r="J14" s="607"/>
      <c r="L14" s="736"/>
      <c r="Q14" s="303">
        <v>56141</v>
      </c>
      <c r="Z14" s="316"/>
      <c r="AA14" s="316"/>
      <c r="AB14" s="316"/>
      <c r="AC14" s="316"/>
      <c r="AD14" s="316"/>
      <c r="AE14" s="316"/>
      <c r="AF14" s="316"/>
      <c r="AG14" s="316"/>
      <c r="AH14" s="316"/>
      <c r="AI14" s="316"/>
      <c r="AJ14" s="316"/>
      <c r="AK14" s="316"/>
      <c r="AL14" s="316"/>
      <c r="AM14" s="316"/>
      <c r="AN14" s="316"/>
      <c r="AO14" s="316"/>
      <c r="AP14" s="316"/>
      <c r="AQ14" s="316"/>
      <c r="AR14" s="316"/>
    </row>
    <row r="15" spans="1:44" ht="95.25" customHeight="1" thickBot="1" x14ac:dyDescent="0.35">
      <c r="A15" s="316">
        <v>629</v>
      </c>
      <c r="B15" s="844" t="s">
        <v>725</v>
      </c>
      <c r="C15" s="843" t="s">
        <v>129</v>
      </c>
      <c r="D15" s="346" t="s">
        <v>1541</v>
      </c>
      <c r="E15" s="701" t="e">
        <f>HLOOKUP($D$2,'2020 Data(H)'!$C$1:$CZ$428,288,FALSE)</f>
        <v>#N/A</v>
      </c>
      <c r="F15" s="303">
        <v>0</v>
      </c>
      <c r="G15" s="762">
        <f>IF(F15&gt;F12,"Please review account numbers 629 &gt; 626",)</f>
        <v>0</v>
      </c>
      <c r="H15" s="767"/>
      <c r="I15" s="767"/>
      <c r="J15" s="607"/>
      <c r="L15" s="736"/>
      <c r="Q15" s="303">
        <v>0</v>
      </c>
      <c r="Z15" s="316"/>
      <c r="AA15" s="316"/>
      <c r="AB15" s="316"/>
      <c r="AC15" s="316"/>
      <c r="AD15" s="316"/>
      <c r="AE15" s="316"/>
      <c r="AF15" s="316"/>
      <c r="AG15" s="316"/>
      <c r="AH15" s="316"/>
      <c r="AI15" s="316"/>
      <c r="AJ15" s="316"/>
      <c r="AK15" s="316"/>
      <c r="AL15" s="316"/>
      <c r="AM15" s="316"/>
      <c r="AN15" s="316"/>
      <c r="AO15" s="316"/>
      <c r="AP15" s="316"/>
      <c r="AQ15" s="316"/>
      <c r="AR15" s="316"/>
    </row>
    <row r="16" spans="1:44" ht="69" customHeight="1" thickBot="1" x14ac:dyDescent="0.35">
      <c r="A16" s="316">
        <v>630</v>
      </c>
      <c r="B16" s="844" t="s">
        <v>725</v>
      </c>
      <c r="C16" s="843" t="s">
        <v>129</v>
      </c>
      <c r="D16" s="346" t="s">
        <v>829</v>
      </c>
      <c r="E16" s="701" t="e">
        <f>HLOOKUP($D$2,'2020 Data(H)'!$C$1:$CZ$428,289,FALSE)</f>
        <v>#N/A</v>
      </c>
      <c r="F16" s="303">
        <v>0</v>
      </c>
      <c r="G16" s="762">
        <f>IF(F16&gt;F12,"Please review account numbers 630 &gt; 626",)</f>
        <v>0</v>
      </c>
      <c r="H16" s="767"/>
      <c r="I16" s="767"/>
      <c r="J16" s="607"/>
      <c r="L16" s="736"/>
      <c r="Q16" s="303">
        <v>0</v>
      </c>
      <c r="Z16" s="316"/>
      <c r="AA16" s="316"/>
      <c r="AB16" s="316"/>
      <c r="AC16" s="316"/>
      <c r="AD16" s="316"/>
      <c r="AE16" s="316"/>
      <c r="AF16" s="316"/>
      <c r="AG16" s="316"/>
      <c r="AH16" s="316"/>
      <c r="AI16" s="316"/>
      <c r="AJ16" s="316"/>
      <c r="AK16" s="316"/>
      <c r="AL16" s="316"/>
      <c r="AM16" s="316"/>
      <c r="AN16" s="316"/>
      <c r="AO16" s="316"/>
      <c r="AP16" s="316"/>
      <c r="AQ16" s="316"/>
      <c r="AR16" s="316"/>
    </row>
    <row r="17" spans="1:44" ht="95.25" customHeight="1" thickBot="1" x14ac:dyDescent="0.35">
      <c r="A17" s="316">
        <v>631</v>
      </c>
      <c r="B17" s="844" t="s">
        <v>725</v>
      </c>
      <c r="C17" s="843" t="s">
        <v>129</v>
      </c>
      <c r="D17" s="346" t="s">
        <v>1542</v>
      </c>
      <c r="E17" s="701" t="e">
        <f>HLOOKUP($D$2,'2020 Data(H)'!$C$1:$CZ$428,290,FALSE)</f>
        <v>#N/A</v>
      </c>
      <c r="F17" s="303">
        <v>0</v>
      </c>
      <c r="G17" s="762">
        <f>IF(F17&gt;F12,"Please review account numbers 631 &gt; 626",)</f>
        <v>0</v>
      </c>
      <c r="H17" s="767"/>
      <c r="I17" s="767"/>
      <c r="J17" s="607"/>
      <c r="L17" s="736"/>
      <c r="Q17" s="303">
        <v>0</v>
      </c>
      <c r="Z17" s="316"/>
      <c r="AA17" s="316"/>
      <c r="AB17" s="316"/>
      <c r="AC17" s="316"/>
      <c r="AD17" s="316"/>
      <c r="AE17" s="316"/>
      <c r="AF17" s="316"/>
      <c r="AG17" s="316"/>
      <c r="AH17" s="316"/>
      <c r="AI17" s="316"/>
      <c r="AJ17" s="316"/>
      <c r="AK17" s="316"/>
      <c r="AL17" s="316"/>
      <c r="AM17" s="316"/>
      <c r="AN17" s="316"/>
      <c r="AO17" s="316"/>
      <c r="AP17" s="316"/>
      <c r="AQ17" s="316"/>
      <c r="AR17" s="316"/>
    </row>
    <row r="18" spans="1:44" ht="111.75" customHeight="1" thickBot="1" x14ac:dyDescent="0.35">
      <c r="A18" s="316">
        <v>632</v>
      </c>
      <c r="B18" s="844" t="s">
        <v>725</v>
      </c>
      <c r="C18" s="843" t="s">
        <v>129</v>
      </c>
      <c r="D18" s="346" t="s">
        <v>1543</v>
      </c>
      <c r="E18" s="701" t="e">
        <f>HLOOKUP($D$2,'2020 Data(H)'!$C$1:$CZ$428,291,FALSE)</f>
        <v>#N/A</v>
      </c>
      <c r="F18" s="303">
        <v>0</v>
      </c>
      <c r="G18" s="762">
        <f>IF(F18&gt;F12,"Please review account numbers 632 &gt; 626",)</f>
        <v>0</v>
      </c>
      <c r="H18" s="767"/>
      <c r="I18" s="767"/>
      <c r="J18" s="607"/>
      <c r="L18" s="736"/>
      <c r="Q18" s="303">
        <v>0</v>
      </c>
      <c r="Z18" s="316"/>
      <c r="AA18" s="316"/>
      <c r="AB18" s="316"/>
      <c r="AC18" s="316"/>
      <c r="AD18" s="316"/>
      <c r="AE18" s="316"/>
      <c r="AF18" s="316"/>
      <c r="AG18" s="316"/>
      <c r="AH18" s="316"/>
      <c r="AI18" s="316"/>
      <c r="AJ18" s="316"/>
      <c r="AK18" s="316"/>
      <c r="AL18" s="316"/>
      <c r="AM18" s="316"/>
      <c r="AN18" s="316"/>
      <c r="AO18" s="316"/>
      <c r="AP18" s="316"/>
      <c r="AQ18" s="316"/>
      <c r="AR18" s="316"/>
    </row>
    <row r="19" spans="1:44" ht="55.5" customHeight="1" thickBot="1" x14ac:dyDescent="0.35">
      <c r="A19" s="107">
        <v>338</v>
      </c>
      <c r="B19" s="625" t="s">
        <v>56</v>
      </c>
      <c r="C19" s="667" t="s">
        <v>129</v>
      </c>
      <c r="D19" s="106" t="s">
        <v>131</v>
      </c>
      <c r="E19" s="701" t="e">
        <f>HLOOKUP($D$2,'2020 Data(H)'!$C$1:$CZ$428,104,FALSE)</f>
        <v>#N/A</v>
      </c>
      <c r="F19" s="303">
        <v>0</v>
      </c>
      <c r="G19" s="762" t="str">
        <f>IF(F12&gt;F19,"Error: Please review accts 626 &gt; 338","")</f>
        <v/>
      </c>
      <c r="H19" s="17"/>
      <c r="I19" s="763"/>
      <c r="J19" s="607"/>
      <c r="L19" s="736"/>
      <c r="Q19" s="303">
        <v>1131889</v>
      </c>
      <c r="Z19" s="107"/>
      <c r="AA19" s="107"/>
      <c r="AB19" s="107"/>
      <c r="AC19" s="107"/>
      <c r="AD19" s="107"/>
      <c r="AE19" s="107"/>
      <c r="AF19" s="107"/>
      <c r="AG19" s="107"/>
      <c r="AH19" s="107"/>
      <c r="AI19" s="107"/>
      <c r="AJ19" s="107"/>
      <c r="AK19" s="107"/>
      <c r="AL19" s="107"/>
      <c r="AM19" s="107"/>
      <c r="AN19" s="107"/>
      <c r="AO19" s="107"/>
      <c r="AP19" s="107"/>
      <c r="AQ19" s="107"/>
      <c r="AR19" s="107"/>
    </row>
    <row r="20" spans="1:44" ht="89.25" customHeight="1" thickBot="1" x14ac:dyDescent="0.35">
      <c r="A20" s="107">
        <v>335</v>
      </c>
      <c r="B20" s="625" t="s">
        <v>56</v>
      </c>
      <c r="C20" s="667" t="s">
        <v>129</v>
      </c>
      <c r="D20" s="740" t="s">
        <v>1544</v>
      </c>
      <c r="E20" s="701" t="e">
        <f>HLOOKUP($D$2,'2020 Data(H)'!$C$1:$CZ$428,101,FALSE)</f>
        <v>#N/A</v>
      </c>
      <c r="F20" s="303">
        <v>0</v>
      </c>
      <c r="G20" s="762">
        <f>IF(F20&lt;0,"Error: Enter as positive.",)</f>
        <v>0</v>
      </c>
      <c r="H20" s="17"/>
      <c r="I20" s="381"/>
      <c r="J20" s="607"/>
      <c r="L20" s="736"/>
      <c r="Q20" s="303">
        <v>0</v>
      </c>
      <c r="Z20" s="107"/>
      <c r="AA20" s="107"/>
      <c r="AB20" s="107"/>
      <c r="AC20" s="107"/>
      <c r="AD20" s="107"/>
      <c r="AE20" s="107"/>
      <c r="AF20" s="107"/>
      <c r="AG20" s="107"/>
      <c r="AH20" s="107"/>
      <c r="AI20" s="107"/>
      <c r="AJ20" s="107"/>
      <c r="AK20" s="107"/>
      <c r="AL20" s="107"/>
      <c r="AM20" s="107"/>
      <c r="AN20" s="107"/>
      <c r="AO20" s="107"/>
      <c r="AP20" s="107"/>
      <c r="AQ20" s="107"/>
      <c r="AR20" s="107"/>
    </row>
    <row r="21" spans="1:44" ht="48.75" customHeight="1" thickBot="1" x14ac:dyDescent="0.35">
      <c r="A21" s="107">
        <v>252</v>
      </c>
      <c r="B21" s="625" t="s">
        <v>56</v>
      </c>
      <c r="C21" s="667" t="s">
        <v>129</v>
      </c>
      <c r="D21" s="106" t="s">
        <v>132</v>
      </c>
      <c r="E21" s="701" t="e">
        <f>HLOOKUP($D$2,'2020 Data(H)'!$C$1:$CZ$428,78,FALSE)</f>
        <v>#N/A</v>
      </c>
      <c r="F21" s="303">
        <v>0</v>
      </c>
      <c r="G21" s="768"/>
      <c r="H21" s="17"/>
      <c r="I21" s="79"/>
      <c r="J21" s="607"/>
      <c r="L21" s="736"/>
      <c r="Q21" s="303">
        <v>1656465</v>
      </c>
      <c r="Z21" s="107"/>
      <c r="AA21" s="107"/>
      <c r="AB21" s="107"/>
      <c r="AC21" s="107"/>
      <c r="AD21" s="107"/>
      <c r="AE21" s="107"/>
      <c r="AF21" s="107"/>
      <c r="AG21" s="107"/>
      <c r="AH21" s="107"/>
      <c r="AI21" s="107"/>
      <c r="AJ21" s="107"/>
      <c r="AK21" s="107"/>
      <c r="AL21" s="107"/>
      <c r="AM21" s="107"/>
      <c r="AN21" s="107"/>
      <c r="AO21" s="107"/>
      <c r="AP21" s="107"/>
      <c r="AQ21" s="107"/>
      <c r="AR21" s="107"/>
    </row>
    <row r="22" spans="1:44" ht="43.8" thickBot="1" x14ac:dyDescent="0.35">
      <c r="A22" s="107">
        <v>253</v>
      </c>
      <c r="B22" s="625" t="s">
        <v>56</v>
      </c>
      <c r="C22" s="667" t="s">
        <v>129</v>
      </c>
      <c r="D22" s="106" t="s">
        <v>133</v>
      </c>
      <c r="E22" s="701" t="e">
        <f>HLOOKUP($D$2,'2020 Data(H)'!$C$1:$CZ$428,79,FALSE)</f>
        <v>#N/A</v>
      </c>
      <c r="F22" s="303">
        <v>0</v>
      </c>
      <c r="G22" s="762"/>
      <c r="H22" s="17"/>
      <c r="I22" s="79"/>
      <c r="J22" s="607"/>
      <c r="L22" s="736"/>
      <c r="Q22" s="303">
        <v>172269</v>
      </c>
      <c r="Z22" s="107"/>
      <c r="AA22" s="107"/>
      <c r="AB22" s="107"/>
      <c r="AC22" s="107"/>
      <c r="AD22" s="107"/>
      <c r="AE22" s="107"/>
      <c r="AF22" s="107"/>
      <c r="AG22" s="107"/>
      <c r="AH22" s="107"/>
      <c r="AI22" s="107"/>
      <c r="AJ22" s="107"/>
      <c r="AK22" s="107"/>
      <c r="AL22" s="107"/>
      <c r="AM22" s="107"/>
      <c r="AN22" s="107"/>
      <c r="AO22" s="107"/>
      <c r="AP22" s="107"/>
      <c r="AQ22" s="107"/>
      <c r="AR22" s="107"/>
    </row>
    <row r="23" spans="1:44" ht="73.5" customHeight="1" thickBot="1" x14ac:dyDescent="0.35">
      <c r="A23" s="107">
        <v>254</v>
      </c>
      <c r="B23" s="625" t="s">
        <v>56</v>
      </c>
      <c r="C23" s="667" t="s">
        <v>129</v>
      </c>
      <c r="D23" s="106" t="s">
        <v>1545</v>
      </c>
      <c r="E23" s="701" t="e">
        <f>HLOOKUP($D$2,'2020 Data(H)'!$C$1:$CZ$428,80,FALSE)</f>
        <v>#N/A</v>
      </c>
      <c r="F23" s="303">
        <v>0</v>
      </c>
      <c r="G23" s="762">
        <f>IF(H23=0,,"Error: Total assets and deferred outflows less total liabilities and deferred inflows do not equal total net position. Account numbers  385-338-252-253-254 = 0.  The amount the formula is off is located in the cell to the right")</f>
        <v>0</v>
      </c>
      <c r="H23" s="765">
        <f>F9-F19-F21-F22-F23</f>
        <v>0</v>
      </c>
      <c r="I23" s="79"/>
      <c r="J23" s="607"/>
      <c r="L23" s="736"/>
      <c r="Q23" s="303">
        <v>1605749</v>
      </c>
      <c r="Z23" s="107"/>
      <c r="AA23" s="107"/>
      <c r="AB23" s="107"/>
      <c r="AC23" s="107"/>
      <c r="AD23" s="107"/>
      <c r="AE23" s="107"/>
      <c r="AF23" s="107"/>
      <c r="AG23" s="107"/>
      <c r="AH23" s="107"/>
      <c r="AI23" s="107"/>
      <c r="AJ23" s="107"/>
      <c r="AK23" s="107"/>
      <c r="AL23" s="107"/>
      <c r="AM23" s="107"/>
      <c r="AN23" s="107"/>
      <c r="AO23" s="107"/>
      <c r="AP23" s="107"/>
      <c r="AQ23" s="107"/>
      <c r="AR23" s="107"/>
    </row>
    <row r="24" spans="1:44" ht="21.75" customHeight="1" thickBot="1" x14ac:dyDescent="0.35">
      <c r="A24" s="107"/>
      <c r="B24" s="874" t="s">
        <v>134</v>
      </c>
      <c r="C24" s="875"/>
      <c r="D24" s="879"/>
      <c r="E24" s="880"/>
      <c r="F24" s="891"/>
      <c r="G24" s="892"/>
      <c r="H24" s="17"/>
      <c r="I24" s="79"/>
      <c r="L24" s="736"/>
      <c r="Z24" s="107"/>
      <c r="AA24" s="107"/>
      <c r="AB24" s="107"/>
      <c r="AC24" s="107"/>
      <c r="AD24" s="107"/>
      <c r="AE24" s="107"/>
      <c r="AF24" s="107"/>
      <c r="AG24" s="107"/>
      <c r="AH24" s="107"/>
      <c r="AI24" s="107"/>
      <c r="AJ24" s="107"/>
      <c r="AK24" s="107"/>
      <c r="AL24" s="107"/>
      <c r="AM24" s="107"/>
      <c r="AN24" s="107"/>
      <c r="AO24" s="107"/>
      <c r="AP24" s="107"/>
      <c r="AQ24" s="107"/>
      <c r="AR24" s="107"/>
    </row>
    <row r="25" spans="1:44" ht="59.25" customHeight="1" thickBot="1" x14ac:dyDescent="0.35">
      <c r="A25" s="107">
        <v>502</v>
      </c>
      <c r="B25" s="625" t="s">
        <v>55</v>
      </c>
      <c r="C25" s="667" t="s">
        <v>136</v>
      </c>
      <c r="D25" s="740" t="s">
        <v>1546</v>
      </c>
      <c r="E25" s="701" t="e">
        <f>HLOOKUP($D$2,'2020 Data(H)'!$C$1:$CZ$428,152,FALSE)</f>
        <v>#N/A</v>
      </c>
      <c r="F25" s="303">
        <v>0</v>
      </c>
      <c r="G25" s="762">
        <f>IF(F25&lt;0,"Note: Number is normally positive.",)</f>
        <v>0</v>
      </c>
      <c r="H25" s="17"/>
      <c r="I25" s="79"/>
      <c r="L25" s="736"/>
      <c r="Z25" s="107"/>
      <c r="AA25" s="107"/>
      <c r="AB25" s="107"/>
      <c r="AC25" s="107"/>
      <c r="AD25" s="107"/>
      <c r="AE25" s="107"/>
      <c r="AF25" s="107"/>
      <c r="AG25" s="107"/>
      <c r="AH25" s="107"/>
      <c r="AI25" s="107"/>
      <c r="AJ25" s="107"/>
      <c r="AK25" s="107"/>
      <c r="AL25" s="107"/>
      <c r="AM25" s="107"/>
      <c r="AN25" s="107"/>
      <c r="AO25" s="107"/>
      <c r="AP25" s="107"/>
      <c r="AQ25" s="107"/>
      <c r="AR25" s="107"/>
    </row>
    <row r="26" spans="1:44" ht="59.25" customHeight="1" thickBot="1" x14ac:dyDescent="0.35">
      <c r="A26" s="107">
        <v>503</v>
      </c>
      <c r="B26" s="625" t="s">
        <v>55</v>
      </c>
      <c r="C26" s="667" t="s">
        <v>136</v>
      </c>
      <c r="D26" s="106" t="s">
        <v>135</v>
      </c>
      <c r="E26" s="701" t="e">
        <f>HLOOKUP($D$2,'2020 Data(H)'!$C$1:$CZ$428,153,FALSE)</f>
        <v>#N/A</v>
      </c>
      <c r="F26" s="273">
        <v>0</v>
      </c>
      <c r="G26" s="762">
        <f>IF(F26&lt;0,"Note: Number is normally positive.",)</f>
        <v>0</v>
      </c>
      <c r="H26" s="17"/>
      <c r="I26" s="79"/>
      <c r="L26" s="736"/>
      <c r="Z26" s="107"/>
      <c r="AA26" s="107"/>
      <c r="AB26" s="107"/>
      <c r="AC26" s="107"/>
      <c r="AD26" s="107"/>
      <c r="AE26" s="107"/>
      <c r="AF26" s="107"/>
      <c r="AG26" s="107"/>
      <c r="AH26" s="107"/>
      <c r="AI26" s="107"/>
      <c r="AJ26" s="107"/>
      <c r="AK26" s="107"/>
      <c r="AL26" s="107"/>
      <c r="AM26" s="107"/>
      <c r="AN26" s="107"/>
      <c r="AO26" s="107"/>
      <c r="AP26" s="107"/>
      <c r="AQ26" s="107"/>
      <c r="AR26" s="107"/>
    </row>
    <row r="27" spans="1:44" ht="27" customHeight="1" thickBot="1" x14ac:dyDescent="0.35">
      <c r="A27" s="107"/>
      <c r="B27" s="874" t="s">
        <v>137</v>
      </c>
      <c r="C27" s="875"/>
      <c r="D27" s="879"/>
      <c r="E27" s="880"/>
      <c r="F27" s="881"/>
      <c r="G27" s="882"/>
      <c r="H27" s="17"/>
      <c r="I27" s="79"/>
      <c r="L27" s="736"/>
      <c r="Z27" s="107"/>
      <c r="AA27" s="107"/>
      <c r="AB27" s="107"/>
      <c r="AC27" s="107"/>
      <c r="AD27" s="107"/>
      <c r="AE27" s="107"/>
      <c r="AF27" s="107"/>
      <c r="AG27" s="107"/>
      <c r="AH27" s="107"/>
      <c r="AI27" s="107"/>
      <c r="AJ27" s="107"/>
      <c r="AK27" s="107"/>
      <c r="AL27" s="107"/>
      <c r="AM27" s="107"/>
      <c r="AN27" s="107"/>
      <c r="AO27" s="107"/>
      <c r="AP27" s="107"/>
      <c r="AQ27" s="107"/>
      <c r="AR27" s="107"/>
    </row>
    <row r="28" spans="1:44" ht="49.5" customHeight="1" thickBot="1" x14ac:dyDescent="0.35">
      <c r="A28" s="107">
        <v>344</v>
      </c>
      <c r="B28" s="625" t="s">
        <v>56</v>
      </c>
      <c r="C28" s="625" t="s">
        <v>144</v>
      </c>
      <c r="D28" s="106" t="s">
        <v>138</v>
      </c>
      <c r="E28" s="701" t="e">
        <f>HLOOKUP($D$2,'2020 Data(H)'!$C$1:$CZ$428,110,FALSE)</f>
        <v>#N/A</v>
      </c>
      <c r="F28" s="303">
        <v>0</v>
      </c>
      <c r="G28" s="762">
        <f t="shared" ref="G28:G35" si="0">IF(F28&lt;0,"Error: Enter as positive.",)</f>
        <v>0</v>
      </c>
      <c r="H28" s="17"/>
      <c r="I28" s="79"/>
      <c r="L28" s="736"/>
      <c r="Z28" s="107"/>
      <c r="AA28" s="107"/>
      <c r="AB28" s="107"/>
      <c r="AC28" s="107"/>
      <c r="AD28" s="107"/>
      <c r="AE28" s="107"/>
      <c r="AF28" s="107"/>
      <c r="AG28" s="107"/>
      <c r="AH28" s="107"/>
      <c r="AI28" s="107"/>
      <c r="AJ28" s="107"/>
      <c r="AK28" s="107"/>
      <c r="AL28" s="107"/>
      <c r="AM28" s="107"/>
      <c r="AN28" s="107"/>
      <c r="AO28" s="107"/>
      <c r="AP28" s="107"/>
      <c r="AQ28" s="107"/>
      <c r="AR28" s="107"/>
    </row>
    <row r="29" spans="1:44" ht="49.5" customHeight="1" thickBot="1" x14ac:dyDescent="0.35">
      <c r="A29" s="107">
        <v>388</v>
      </c>
      <c r="B29" s="625" t="s">
        <v>60</v>
      </c>
      <c r="C29" s="625" t="s">
        <v>144</v>
      </c>
      <c r="D29" s="106" t="s">
        <v>139</v>
      </c>
      <c r="E29" s="701" t="e">
        <f>HLOOKUP($D$2,'2020 Data(H)'!$C$1:$CZ$428,147,FALSE)</f>
        <v>#N/A</v>
      </c>
      <c r="F29" s="303">
        <v>0</v>
      </c>
      <c r="G29" s="762">
        <f t="shared" si="0"/>
        <v>0</v>
      </c>
      <c r="H29" s="17"/>
      <c r="I29" s="79"/>
      <c r="J29" s="607"/>
      <c r="L29" s="736"/>
      <c r="Z29" s="107"/>
      <c r="AA29" s="107"/>
      <c r="AB29" s="107"/>
      <c r="AC29" s="107"/>
      <c r="AD29" s="107"/>
      <c r="AE29" s="107"/>
      <c r="AF29" s="107"/>
      <c r="AG29" s="107"/>
      <c r="AH29" s="107"/>
      <c r="AI29" s="107"/>
      <c r="AJ29" s="107"/>
      <c r="AK29" s="107"/>
      <c r="AL29" s="107"/>
      <c r="AM29" s="107"/>
      <c r="AN29" s="107"/>
      <c r="AO29" s="107"/>
      <c r="AP29" s="107"/>
      <c r="AQ29" s="107"/>
      <c r="AR29" s="107"/>
    </row>
    <row r="30" spans="1:44" ht="51.75" customHeight="1" thickBot="1" x14ac:dyDescent="0.35">
      <c r="A30" s="107">
        <v>339</v>
      </c>
      <c r="B30" s="625" t="s">
        <v>56</v>
      </c>
      <c r="C30" s="625" t="s">
        <v>144</v>
      </c>
      <c r="D30" s="106" t="s">
        <v>140</v>
      </c>
      <c r="E30" s="701" t="e">
        <f>HLOOKUP($D$2,'2020 Data(H)'!$C$1:$CZ$428,105,FALSE)</f>
        <v>#N/A</v>
      </c>
      <c r="F30" s="303">
        <v>0</v>
      </c>
      <c r="G30" s="762">
        <f t="shared" si="0"/>
        <v>0</v>
      </c>
      <c r="H30" s="17"/>
      <c r="I30" s="79"/>
      <c r="J30" s="607"/>
      <c r="L30" s="736"/>
      <c r="Z30" s="107"/>
      <c r="AA30" s="107"/>
      <c r="AB30" s="107"/>
      <c r="AC30" s="107"/>
      <c r="AD30" s="107"/>
      <c r="AE30" s="107"/>
      <c r="AF30" s="107"/>
      <c r="AG30" s="107"/>
      <c r="AH30" s="107"/>
      <c r="AI30" s="107"/>
      <c r="AJ30" s="107"/>
      <c r="AK30" s="107"/>
      <c r="AL30" s="107"/>
      <c r="AM30" s="107"/>
      <c r="AN30" s="107"/>
      <c r="AO30" s="107"/>
      <c r="AP30" s="107"/>
      <c r="AQ30" s="107"/>
      <c r="AR30" s="107"/>
    </row>
    <row r="31" spans="1:44" ht="50.25" customHeight="1" thickBot="1" x14ac:dyDescent="0.35">
      <c r="A31" s="107">
        <v>504</v>
      </c>
      <c r="B31" s="625" t="s">
        <v>56</v>
      </c>
      <c r="C31" s="625" t="s">
        <v>144</v>
      </c>
      <c r="D31" s="106" t="s">
        <v>141</v>
      </c>
      <c r="E31" s="701" t="e">
        <f>HLOOKUP($D$2,'2020 Data(H)'!$C$1:$CZ$428,154,FALSE)</f>
        <v>#N/A</v>
      </c>
      <c r="F31" s="303">
        <v>0</v>
      </c>
      <c r="G31" s="762">
        <f t="shared" si="0"/>
        <v>0</v>
      </c>
      <c r="H31" s="17"/>
      <c r="I31" s="79"/>
      <c r="J31" s="607"/>
      <c r="L31" s="736"/>
      <c r="Z31" s="107"/>
      <c r="AA31" s="107"/>
      <c r="AB31" s="107"/>
      <c r="AC31" s="107"/>
      <c r="AD31" s="107"/>
      <c r="AE31" s="107"/>
      <c r="AF31" s="107"/>
      <c r="AG31" s="107"/>
      <c r="AH31" s="107"/>
      <c r="AI31" s="107"/>
      <c r="AJ31" s="107"/>
      <c r="AK31" s="107"/>
      <c r="AL31" s="107"/>
      <c r="AM31" s="107"/>
      <c r="AN31" s="107"/>
      <c r="AO31" s="107"/>
      <c r="AP31" s="107"/>
      <c r="AQ31" s="107"/>
      <c r="AR31" s="107"/>
    </row>
    <row r="32" spans="1:44" ht="60" customHeight="1" thickBot="1" x14ac:dyDescent="0.35">
      <c r="A32" s="107">
        <v>505</v>
      </c>
      <c r="B32" s="625" t="s">
        <v>56</v>
      </c>
      <c r="C32" s="625" t="s">
        <v>144</v>
      </c>
      <c r="D32" s="720" t="s">
        <v>142</v>
      </c>
      <c r="E32" s="701" t="e">
        <f>HLOOKUP($D$2,'2020 Data(H)'!$C$1:$CZ$428,155,FALSE)</f>
        <v>#N/A</v>
      </c>
      <c r="F32" s="303">
        <v>0</v>
      </c>
      <c r="G32" s="762">
        <f t="shared" si="0"/>
        <v>0</v>
      </c>
      <c r="H32" s="17"/>
      <c r="I32" s="79"/>
      <c r="J32" s="607"/>
      <c r="L32" s="736"/>
      <c r="Z32" s="107"/>
      <c r="AA32" s="107"/>
      <c r="AB32" s="107"/>
      <c r="AC32" s="107"/>
      <c r="AD32" s="107"/>
      <c r="AE32" s="107"/>
      <c r="AF32" s="107"/>
      <c r="AG32" s="107"/>
      <c r="AH32" s="107"/>
      <c r="AI32" s="107"/>
      <c r="AJ32" s="107"/>
      <c r="AK32" s="107"/>
      <c r="AL32" s="107"/>
      <c r="AM32" s="107"/>
      <c r="AN32" s="107"/>
      <c r="AO32" s="107"/>
      <c r="AP32" s="107"/>
      <c r="AQ32" s="107"/>
      <c r="AR32" s="107"/>
    </row>
    <row r="33" spans="1:44" ht="67.95" customHeight="1" thickBot="1" x14ac:dyDescent="0.35">
      <c r="A33" s="107">
        <v>341</v>
      </c>
      <c r="B33" s="625" t="s">
        <v>56</v>
      </c>
      <c r="C33" s="625" t="s">
        <v>144</v>
      </c>
      <c r="D33" s="740" t="s">
        <v>1547</v>
      </c>
      <c r="E33" s="701" t="e">
        <f>HLOOKUP($D$2,'2020 Data(H)'!$C$1:$CZ$428,107,FALSE)</f>
        <v>#N/A</v>
      </c>
      <c r="F33" s="303">
        <v>0</v>
      </c>
      <c r="G33" s="762">
        <f t="shared" si="0"/>
        <v>0</v>
      </c>
      <c r="H33" s="17"/>
      <c r="I33" s="79"/>
      <c r="J33" s="607"/>
      <c r="L33" s="736"/>
      <c r="Z33" s="107"/>
      <c r="AA33" s="107"/>
      <c r="AB33" s="107"/>
      <c r="AC33" s="107"/>
      <c r="AD33" s="107"/>
      <c r="AE33" s="107"/>
      <c r="AF33" s="107"/>
      <c r="AG33" s="107"/>
      <c r="AH33" s="107"/>
      <c r="AI33" s="107"/>
      <c r="AJ33" s="107"/>
      <c r="AK33" s="107"/>
      <c r="AL33" s="107"/>
      <c r="AM33" s="107"/>
      <c r="AN33" s="107"/>
      <c r="AO33" s="107"/>
      <c r="AP33" s="107"/>
      <c r="AQ33" s="107"/>
      <c r="AR33" s="107"/>
    </row>
    <row r="34" spans="1:44" ht="44.25" customHeight="1" thickBot="1" x14ac:dyDescent="0.35">
      <c r="A34" s="107">
        <v>386</v>
      </c>
      <c r="B34" s="625" t="s">
        <v>56</v>
      </c>
      <c r="C34" s="625" t="s">
        <v>144</v>
      </c>
      <c r="D34" s="106" t="s">
        <v>1548</v>
      </c>
      <c r="E34" s="701" t="e">
        <f>HLOOKUP($D$2,'2020 Data(H)'!$C$1:$CZ$428,145,FALSE)</f>
        <v>#N/A</v>
      </c>
      <c r="F34" s="303">
        <v>0</v>
      </c>
      <c r="G34" s="762">
        <f t="shared" si="0"/>
        <v>0</v>
      </c>
      <c r="H34" s="17"/>
      <c r="I34" s="79"/>
      <c r="L34" s="736"/>
      <c r="Z34" s="107"/>
      <c r="AA34" s="107"/>
      <c r="AB34" s="107"/>
      <c r="AC34" s="107"/>
      <c r="AD34" s="107"/>
      <c r="AE34" s="107"/>
      <c r="AF34" s="107"/>
      <c r="AG34" s="107"/>
      <c r="AH34" s="107"/>
      <c r="AI34" s="107"/>
      <c r="AJ34" s="107"/>
      <c r="AK34" s="107"/>
      <c r="AL34" s="107"/>
      <c r="AM34" s="107"/>
      <c r="AN34" s="107"/>
      <c r="AO34" s="107"/>
      <c r="AP34" s="107"/>
      <c r="AQ34" s="107"/>
      <c r="AR34" s="107"/>
    </row>
    <row r="35" spans="1:44" ht="48.75" customHeight="1" thickBot="1" x14ac:dyDescent="0.35">
      <c r="A35" s="107">
        <v>387</v>
      </c>
      <c r="B35" s="625" t="s">
        <v>60</v>
      </c>
      <c r="C35" s="625" t="s">
        <v>144</v>
      </c>
      <c r="D35" s="106" t="s">
        <v>1549</v>
      </c>
      <c r="E35" s="701" t="e">
        <f>HLOOKUP($D$2,'2020 Data(H)'!$C$1:$CZ$428,146,FALSE)</f>
        <v>#N/A</v>
      </c>
      <c r="F35" s="303">
        <v>0</v>
      </c>
      <c r="G35" s="762">
        <f t="shared" si="0"/>
        <v>0</v>
      </c>
      <c r="H35" s="17"/>
      <c r="I35" s="79"/>
      <c r="L35" s="736"/>
      <c r="Z35" s="107"/>
      <c r="AA35" s="107"/>
      <c r="AB35" s="107"/>
      <c r="AC35" s="107"/>
      <c r="AD35" s="107"/>
      <c r="AE35" s="107"/>
      <c r="AF35" s="107"/>
      <c r="AG35" s="107"/>
      <c r="AH35" s="107"/>
      <c r="AI35" s="107"/>
      <c r="AJ35" s="107"/>
      <c r="AK35" s="107"/>
      <c r="AL35" s="107"/>
      <c r="AM35" s="107"/>
      <c r="AN35" s="107"/>
      <c r="AO35" s="107"/>
      <c r="AP35" s="107"/>
      <c r="AQ35" s="107"/>
      <c r="AR35" s="107"/>
    </row>
    <row r="36" spans="1:44" ht="92.25" customHeight="1" thickBot="1" x14ac:dyDescent="0.35">
      <c r="A36" s="107">
        <v>389</v>
      </c>
      <c r="B36" s="625" t="s">
        <v>60</v>
      </c>
      <c r="C36" s="625" t="s">
        <v>144</v>
      </c>
      <c r="D36" s="740" t="s">
        <v>1550</v>
      </c>
      <c r="E36" s="701" t="e">
        <f>HLOOKUP($D$2,'2020 Data(H)'!$C$1:$CZ$428,148,FALSE)</f>
        <v>#N/A</v>
      </c>
      <c r="F36" s="303">
        <v>0</v>
      </c>
      <c r="G36" s="762"/>
      <c r="H36" s="17"/>
      <c r="I36" s="79"/>
      <c r="J36" s="607"/>
      <c r="L36" s="736"/>
      <c r="Z36" s="107"/>
      <c r="AA36" s="107"/>
      <c r="AB36" s="107"/>
      <c r="AC36" s="107"/>
      <c r="AD36" s="107"/>
      <c r="AE36" s="107"/>
      <c r="AF36" s="107"/>
      <c r="AG36" s="107"/>
      <c r="AH36" s="107"/>
      <c r="AI36" s="107"/>
      <c r="AJ36" s="107"/>
      <c r="AK36" s="107"/>
      <c r="AL36" s="107"/>
      <c r="AM36" s="107"/>
      <c r="AN36" s="107"/>
      <c r="AO36" s="107"/>
      <c r="AP36" s="107"/>
      <c r="AQ36" s="107"/>
      <c r="AR36" s="107"/>
    </row>
    <row r="37" spans="1:44" ht="84.75" customHeight="1" thickBot="1" x14ac:dyDescent="0.35">
      <c r="A37" s="107">
        <v>255</v>
      </c>
      <c r="B37" s="625" t="s">
        <v>56</v>
      </c>
      <c r="C37" s="625" t="s">
        <v>144</v>
      </c>
      <c r="D37" s="740" t="s">
        <v>1551</v>
      </c>
      <c r="E37" s="701" t="e">
        <f>HLOOKUP($D$2,'2020 Data(H)'!$C$1:$CZ$428,81,FALSE)</f>
        <v>#N/A</v>
      </c>
      <c r="F37" s="303">
        <v>0</v>
      </c>
      <c r="G37" s="762">
        <f>IF(H37=0,,"Error: Total revenues less total expenses do not equal total change in net position. Account numbers 339+504+505+341+386-387+389-388-255 = 0  The amount the formula is off is located in the cell to the right")</f>
        <v>0</v>
      </c>
      <c r="H37" s="765">
        <f>F30+F31+F32+F33+F34-F35+F36-F29-F37</f>
        <v>0</v>
      </c>
      <c r="I37" s="79"/>
      <c r="J37" s="607"/>
      <c r="L37" s="736"/>
      <c r="Z37" s="107"/>
      <c r="AA37" s="107"/>
      <c r="AB37" s="107"/>
      <c r="AC37" s="107"/>
      <c r="AD37" s="107"/>
      <c r="AE37" s="107"/>
      <c r="AF37" s="107"/>
      <c r="AG37" s="107"/>
      <c r="AH37" s="107"/>
      <c r="AI37" s="107"/>
      <c r="AJ37" s="107"/>
      <c r="AK37" s="107"/>
      <c r="AL37" s="107"/>
      <c r="AM37" s="107"/>
      <c r="AN37" s="107"/>
      <c r="AO37" s="107"/>
      <c r="AP37" s="107"/>
      <c r="AQ37" s="107"/>
      <c r="AR37" s="107"/>
    </row>
    <row r="38" spans="1:44" ht="138" customHeight="1" thickBot="1" x14ac:dyDescent="0.35">
      <c r="A38" s="107">
        <v>376</v>
      </c>
      <c r="B38" s="625" t="s">
        <v>56</v>
      </c>
      <c r="C38" s="625" t="s">
        <v>144</v>
      </c>
      <c r="D38" s="740" t="s">
        <v>1552</v>
      </c>
      <c r="E38" s="701" t="e">
        <f>HLOOKUP($D$2,'2020 Data(H)'!$C$1:$CZ$428,135,FALSE)</f>
        <v>#N/A</v>
      </c>
      <c r="F38" s="301">
        <v>0</v>
      </c>
      <c r="G38" s="944" t="e">
        <f>IF(H38=0,,"Error: Beginning Balance does not agree with our records.  Account numbers  252+253+254-255-376-(Prior Year 252+253+254)=0  The amount the formula is off is located in the cell to the right")</f>
        <v>#N/A</v>
      </c>
      <c r="H38" s="769" t="e">
        <f>F21+F22+F23-F37-F38-(E21+E22+E23)</f>
        <v>#N/A</v>
      </c>
      <c r="I38" s="1263" t="s">
        <v>1852</v>
      </c>
      <c r="J38" s="607"/>
      <c r="L38" s="736"/>
      <c r="Z38" s="107"/>
      <c r="AA38" s="107"/>
      <c r="AB38" s="107"/>
      <c r="AC38" s="107"/>
      <c r="AD38" s="107"/>
      <c r="AE38" s="107"/>
      <c r="AF38" s="107"/>
      <c r="AG38" s="107"/>
      <c r="AH38" s="107"/>
      <c r="AI38" s="107"/>
      <c r="AJ38" s="107"/>
      <c r="AK38" s="107"/>
      <c r="AL38" s="107"/>
      <c r="AM38" s="107"/>
      <c r="AN38" s="107"/>
      <c r="AO38" s="107"/>
      <c r="AP38" s="107"/>
      <c r="AQ38" s="107"/>
      <c r="AR38" s="107"/>
    </row>
    <row r="39" spans="1:44" s="18" customFormat="1" ht="141.75" customHeight="1" thickBot="1" x14ac:dyDescent="0.35">
      <c r="A39" s="107">
        <v>597</v>
      </c>
      <c r="B39" s="667" t="s">
        <v>607</v>
      </c>
      <c r="C39" s="667" t="s">
        <v>673</v>
      </c>
      <c r="D39" s="845" t="s">
        <v>1553</v>
      </c>
      <c r="E39" s="701" t="e">
        <f>HLOOKUP($D$2,'2020 Data(H)'!$C$1:$CZ$428,256,FALSE)</f>
        <v>#N/A</v>
      </c>
      <c r="F39" s="301">
        <v>0</v>
      </c>
      <c r="G39" s="762">
        <f>IF(F39&lt;0,"Note: Number is normally positive.",)</f>
        <v>0</v>
      </c>
      <c r="H39" s="763"/>
      <c r="I39" s="764"/>
      <c r="J39" s="607"/>
      <c r="L39" s="736"/>
      <c r="N39" s="304"/>
      <c r="Z39" s="107"/>
      <c r="AA39" s="107"/>
      <c r="AB39" s="107"/>
      <c r="AC39" s="107"/>
      <c r="AD39" s="107"/>
      <c r="AE39" s="107"/>
      <c r="AF39" s="107"/>
      <c r="AG39" s="107"/>
      <c r="AH39" s="107"/>
      <c r="AI39" s="107"/>
      <c r="AJ39" s="107"/>
      <c r="AK39" s="107"/>
      <c r="AL39" s="107"/>
      <c r="AM39" s="107"/>
      <c r="AN39" s="107"/>
      <c r="AO39" s="107"/>
      <c r="AP39" s="107"/>
      <c r="AQ39" s="107"/>
      <c r="AR39" s="107"/>
    </row>
    <row r="40" spans="1:44" ht="25.5" customHeight="1" thickBot="1" x14ac:dyDescent="0.35">
      <c r="A40" s="107"/>
      <c r="B40" s="874" t="s">
        <v>606</v>
      </c>
      <c r="C40" s="875"/>
      <c r="D40" s="879"/>
      <c r="E40" s="880"/>
      <c r="F40" s="881"/>
      <c r="G40" s="882"/>
      <c r="H40" s="17"/>
      <c r="I40" s="79"/>
      <c r="L40" s="736"/>
      <c r="Z40" s="107"/>
      <c r="AA40" s="107"/>
      <c r="AB40" s="107"/>
      <c r="AC40" s="107"/>
      <c r="AD40" s="107"/>
      <c r="AE40" s="107"/>
      <c r="AF40" s="107"/>
      <c r="AG40" s="107"/>
      <c r="AH40" s="107"/>
      <c r="AI40" s="107"/>
      <c r="AJ40" s="107"/>
      <c r="AK40" s="107"/>
      <c r="AL40" s="107"/>
      <c r="AM40" s="107"/>
      <c r="AN40" s="107"/>
      <c r="AO40" s="107"/>
      <c r="AP40" s="107"/>
      <c r="AQ40" s="107"/>
      <c r="AR40" s="107"/>
    </row>
    <row r="41" spans="1:44" s="18" customFormat="1" ht="86.25" customHeight="1" thickBot="1" x14ac:dyDescent="0.35">
      <c r="A41" s="107">
        <v>592</v>
      </c>
      <c r="B41" s="667" t="s">
        <v>59</v>
      </c>
      <c r="C41" s="667" t="s">
        <v>608</v>
      </c>
      <c r="D41" s="740" t="s">
        <v>1554</v>
      </c>
      <c r="E41" s="701" t="e">
        <f>HLOOKUP($D$2,'2020 Data(H)'!$C$1:$CZ$428,253,FALSE)</f>
        <v>#N/A</v>
      </c>
      <c r="F41" s="770">
        <v>0</v>
      </c>
      <c r="G41" s="762"/>
      <c r="H41" s="763"/>
      <c r="J41" s="607"/>
      <c r="L41" s="736"/>
      <c r="N41" s="304"/>
      <c r="Z41" s="107"/>
      <c r="AA41" s="107"/>
      <c r="AB41" s="107"/>
      <c r="AC41" s="107"/>
      <c r="AD41" s="107"/>
      <c r="AE41" s="107"/>
      <c r="AF41" s="107"/>
      <c r="AG41" s="107"/>
      <c r="AH41" s="107"/>
      <c r="AI41" s="107"/>
      <c r="AJ41" s="107"/>
      <c r="AK41" s="107"/>
      <c r="AL41" s="107"/>
      <c r="AM41" s="107"/>
      <c r="AN41" s="107"/>
      <c r="AO41" s="107"/>
      <c r="AP41" s="107"/>
      <c r="AQ41" s="107"/>
      <c r="AR41" s="107"/>
    </row>
    <row r="42" spans="1:44" s="18" customFormat="1" ht="71.25" customHeight="1" thickBot="1" x14ac:dyDescent="0.35">
      <c r="A42" s="107">
        <v>591</v>
      </c>
      <c r="B42" s="667" t="s">
        <v>59</v>
      </c>
      <c r="C42" s="667" t="s">
        <v>608</v>
      </c>
      <c r="D42" s="106" t="s">
        <v>609</v>
      </c>
      <c r="E42" s="701" t="e">
        <f>HLOOKUP($D$2,'2020 Data(H)'!$C$1:$CZ$428,252,FALSE)</f>
        <v>#N/A</v>
      </c>
      <c r="F42" s="770">
        <v>0</v>
      </c>
      <c r="G42" s="762">
        <f>IF(F42&lt;0,"Error: Enter as positive.",)</f>
        <v>0</v>
      </c>
      <c r="H42" s="763"/>
      <c r="J42" s="607"/>
      <c r="L42" s="736"/>
      <c r="N42" s="304"/>
      <c r="Z42" s="107"/>
      <c r="AA42" s="107"/>
      <c r="AB42" s="107"/>
      <c r="AC42" s="107"/>
      <c r="AD42" s="107"/>
      <c r="AE42" s="107"/>
      <c r="AF42" s="107"/>
      <c r="AG42" s="107"/>
      <c r="AH42" s="107"/>
      <c r="AI42" s="107"/>
      <c r="AJ42" s="107"/>
      <c r="AK42" s="107"/>
      <c r="AL42" s="107"/>
      <c r="AM42" s="107"/>
      <c r="AN42" s="107"/>
      <c r="AO42" s="107"/>
      <c r="AP42" s="107"/>
      <c r="AQ42" s="107"/>
      <c r="AR42" s="107"/>
    </row>
    <row r="43" spans="1:44" s="18" customFormat="1" ht="71.25" hidden="1" customHeight="1" thickBot="1" x14ac:dyDescent="0.35">
      <c r="A43" s="107">
        <v>593</v>
      </c>
      <c r="B43" s="667" t="s">
        <v>59</v>
      </c>
      <c r="C43" s="846" t="s">
        <v>608</v>
      </c>
      <c r="D43" s="106" t="s">
        <v>1497</v>
      </c>
      <c r="E43" s="701" t="s">
        <v>1656</v>
      </c>
      <c r="F43" s="770">
        <v>0</v>
      </c>
      <c r="G43" s="762"/>
      <c r="H43" s="763"/>
      <c r="J43" s="607"/>
      <c r="L43" s="736"/>
      <c r="N43" s="304"/>
      <c r="Z43" s="107"/>
      <c r="AA43" s="107"/>
      <c r="AB43" s="107"/>
      <c r="AC43" s="107"/>
      <c r="AD43" s="107"/>
      <c r="AE43" s="107"/>
      <c r="AF43" s="107"/>
      <c r="AG43" s="107"/>
      <c r="AH43" s="107"/>
      <c r="AI43" s="107"/>
      <c r="AJ43" s="107"/>
      <c r="AK43" s="107"/>
      <c r="AL43" s="107"/>
      <c r="AM43" s="107"/>
      <c r="AN43" s="107"/>
      <c r="AO43" s="107"/>
      <c r="AP43" s="107"/>
      <c r="AQ43" s="107"/>
      <c r="AR43" s="107"/>
    </row>
    <row r="44" spans="1:44" s="18" customFormat="1" ht="71.25" hidden="1" customHeight="1" thickBot="1" x14ac:dyDescent="0.35">
      <c r="A44" s="107">
        <v>594</v>
      </c>
      <c r="B44" s="667" t="s">
        <v>59</v>
      </c>
      <c r="C44" s="846" t="s">
        <v>608</v>
      </c>
      <c r="D44" s="106" t="s">
        <v>1498</v>
      </c>
      <c r="E44" s="701" t="s">
        <v>1656</v>
      </c>
      <c r="F44" s="770">
        <v>0</v>
      </c>
      <c r="G44" s="762"/>
      <c r="H44" s="763"/>
      <c r="J44" s="607"/>
      <c r="L44" s="736"/>
      <c r="N44" s="304"/>
      <c r="Z44" s="107"/>
      <c r="AA44" s="107"/>
      <c r="AB44" s="107"/>
      <c r="AC44" s="107"/>
      <c r="AD44" s="107"/>
      <c r="AE44" s="107"/>
      <c r="AF44" s="107"/>
      <c r="AG44" s="107"/>
      <c r="AH44" s="107"/>
      <c r="AI44" s="107"/>
      <c r="AJ44" s="107"/>
      <c r="AK44" s="107"/>
      <c r="AL44" s="107"/>
      <c r="AM44" s="107"/>
      <c r="AN44" s="107"/>
      <c r="AO44" s="107"/>
      <c r="AP44" s="107"/>
      <c r="AQ44" s="107"/>
      <c r="AR44" s="107"/>
    </row>
    <row r="45" spans="1:44" s="18" customFormat="1" ht="27" hidden="1" customHeight="1" thickBot="1" x14ac:dyDescent="0.35">
      <c r="A45" s="107"/>
      <c r="B45" s="874" t="s">
        <v>1660</v>
      </c>
      <c r="C45" s="930"/>
      <c r="D45" s="931"/>
      <c r="E45" s="907"/>
      <c r="F45" s="881"/>
      <c r="G45" s="892"/>
      <c r="H45" s="763"/>
      <c r="J45" s="607"/>
      <c r="L45" s="736"/>
      <c r="N45" s="304"/>
      <c r="Z45" s="107"/>
      <c r="AA45" s="107"/>
      <c r="AB45" s="107"/>
      <c r="AC45" s="107"/>
      <c r="AD45" s="107"/>
      <c r="AE45" s="107"/>
      <c r="AF45" s="107"/>
      <c r="AG45" s="107"/>
      <c r="AH45" s="107"/>
      <c r="AI45" s="107"/>
      <c r="AJ45" s="107"/>
      <c r="AK45" s="107"/>
      <c r="AL45" s="107"/>
      <c r="AM45" s="107"/>
      <c r="AN45" s="107"/>
      <c r="AO45" s="107"/>
      <c r="AP45" s="107"/>
      <c r="AQ45" s="107"/>
      <c r="AR45" s="107"/>
    </row>
    <row r="46" spans="1:44" s="18" customFormat="1" ht="71.25" hidden="1" customHeight="1" thickBot="1" x14ac:dyDescent="0.35">
      <c r="A46" s="107">
        <v>558</v>
      </c>
      <c r="B46" s="667" t="s">
        <v>59</v>
      </c>
      <c r="C46" s="846" t="s">
        <v>1499</v>
      </c>
      <c r="D46" s="106" t="s">
        <v>1504</v>
      </c>
      <c r="E46" s="701" t="e">
        <f>HLOOKUP($D$2,'2020 Data(H)'!$C$1:$CZ$428,208,FALSE)</f>
        <v>#N/A</v>
      </c>
      <c r="F46" s="770">
        <v>0</v>
      </c>
      <c r="G46" s="762"/>
      <c r="H46" s="763"/>
      <c r="J46" s="607"/>
      <c r="L46" s="736"/>
      <c r="N46" s="304"/>
      <c r="Z46" s="107"/>
      <c r="AA46" s="107"/>
      <c r="AB46" s="107"/>
      <c r="AC46" s="107"/>
      <c r="AD46" s="107"/>
      <c r="AE46" s="107"/>
      <c r="AF46" s="107"/>
      <c r="AG46" s="107"/>
      <c r="AH46" s="107"/>
      <c r="AI46" s="107"/>
      <c r="AJ46" s="107"/>
      <c r="AK46" s="107"/>
      <c r="AL46" s="107"/>
      <c r="AM46" s="107"/>
      <c r="AN46" s="107"/>
      <c r="AO46" s="107"/>
      <c r="AP46" s="107"/>
      <c r="AQ46" s="107"/>
      <c r="AR46" s="107"/>
    </row>
    <row r="47" spans="1:44" s="18" customFormat="1" ht="71.25" hidden="1" customHeight="1" thickBot="1" x14ac:dyDescent="0.35">
      <c r="A47" s="107">
        <v>559</v>
      </c>
      <c r="B47" s="667" t="s">
        <v>59</v>
      </c>
      <c r="C47" s="846" t="s">
        <v>1499</v>
      </c>
      <c r="D47" s="106" t="s">
        <v>146</v>
      </c>
      <c r="E47" s="701" t="e">
        <f>HLOOKUP($D$2,'2020 Data(H)'!$C$1:$CZ$428,209,FALSE)</f>
        <v>#N/A</v>
      </c>
      <c r="F47" s="770">
        <v>0</v>
      </c>
      <c r="G47" s="762"/>
      <c r="H47" s="763"/>
      <c r="J47" s="607"/>
      <c r="L47" s="736"/>
      <c r="N47" s="304"/>
      <c r="Z47" s="107"/>
      <c r="AA47" s="107"/>
      <c r="AB47" s="107"/>
      <c r="AC47" s="107"/>
      <c r="AD47" s="107"/>
      <c r="AE47" s="107"/>
      <c r="AF47" s="107"/>
      <c r="AG47" s="107"/>
      <c r="AH47" s="107"/>
      <c r="AI47" s="107"/>
      <c r="AJ47" s="107"/>
      <c r="AK47" s="107"/>
      <c r="AL47" s="107"/>
      <c r="AM47" s="107"/>
      <c r="AN47" s="107"/>
      <c r="AO47" s="107"/>
      <c r="AP47" s="107"/>
      <c r="AQ47" s="107"/>
      <c r="AR47" s="107"/>
    </row>
    <row r="48" spans="1:44" s="18" customFormat="1" ht="108" hidden="1" customHeight="1" thickBot="1" x14ac:dyDescent="0.35">
      <c r="A48" s="107">
        <v>560</v>
      </c>
      <c r="B48" s="667" t="s">
        <v>59</v>
      </c>
      <c r="C48" s="846" t="s">
        <v>1499</v>
      </c>
      <c r="D48" s="740" t="s">
        <v>1501</v>
      </c>
      <c r="E48" s="701" t="e">
        <f>HLOOKUP($D$2,'2020 Data(H)'!$C$1:$CZ$428,210,FALSE)</f>
        <v>#N/A</v>
      </c>
      <c r="F48" s="770">
        <v>0</v>
      </c>
      <c r="G48" s="762"/>
      <c r="H48" s="763"/>
      <c r="J48" s="607"/>
      <c r="L48" s="736"/>
      <c r="N48" s="304"/>
      <c r="Z48" s="107"/>
      <c r="AA48" s="107"/>
      <c r="AB48" s="107"/>
      <c r="AC48" s="107"/>
      <c r="AD48" s="107"/>
      <c r="AE48" s="107"/>
      <c r="AF48" s="107"/>
      <c r="AG48" s="107"/>
      <c r="AH48" s="107"/>
      <c r="AI48" s="107"/>
      <c r="AJ48" s="107"/>
      <c r="AK48" s="107"/>
      <c r="AL48" s="107"/>
      <c r="AM48" s="107"/>
      <c r="AN48" s="107"/>
      <c r="AO48" s="107"/>
      <c r="AP48" s="107"/>
      <c r="AQ48" s="107"/>
      <c r="AR48" s="107"/>
    </row>
    <row r="49" spans="1:44" s="18" customFormat="1" ht="71.25" hidden="1" customHeight="1" thickBot="1" x14ac:dyDescent="0.35">
      <c r="A49" s="107">
        <v>561</v>
      </c>
      <c r="B49" s="667" t="s">
        <v>59</v>
      </c>
      <c r="C49" s="846" t="s">
        <v>1499</v>
      </c>
      <c r="D49" s="740" t="s">
        <v>1502</v>
      </c>
      <c r="E49" s="701" t="e">
        <f>HLOOKUP($D$2,'2020 Data(H)'!$C$1:$CZ$428,211,FALSE)</f>
        <v>#N/A</v>
      </c>
      <c r="F49" s="770">
        <v>0</v>
      </c>
      <c r="G49" s="762"/>
      <c r="H49" s="763"/>
      <c r="J49" s="607"/>
      <c r="L49" s="736"/>
      <c r="N49" s="304"/>
      <c r="Z49" s="107"/>
      <c r="AA49" s="107"/>
      <c r="AB49" s="107"/>
      <c r="AC49" s="107"/>
      <c r="AD49" s="107"/>
      <c r="AE49" s="107"/>
      <c r="AF49" s="107"/>
      <c r="AG49" s="107"/>
      <c r="AH49" s="107"/>
      <c r="AI49" s="107"/>
      <c r="AJ49" s="107"/>
      <c r="AK49" s="107"/>
      <c r="AL49" s="107"/>
      <c r="AM49" s="107"/>
      <c r="AN49" s="107"/>
      <c r="AO49" s="107"/>
      <c r="AP49" s="107"/>
      <c r="AQ49" s="107"/>
      <c r="AR49" s="107"/>
    </row>
    <row r="50" spans="1:44" s="18" customFormat="1" ht="122.25" hidden="1" customHeight="1" thickBot="1" x14ac:dyDescent="0.35">
      <c r="A50" s="107">
        <v>563</v>
      </c>
      <c r="B50" s="667" t="s">
        <v>59</v>
      </c>
      <c r="C50" s="846" t="s">
        <v>1499</v>
      </c>
      <c r="D50" s="740" t="s">
        <v>1500</v>
      </c>
      <c r="E50" s="701" t="e">
        <f>HLOOKUP($D$2,'2020 Data(H)'!$C$1:$CZ$428,213,FALSE)</f>
        <v>#N/A</v>
      </c>
      <c r="F50" s="770">
        <v>0</v>
      </c>
      <c r="G50" s="762"/>
      <c r="H50" s="763"/>
      <c r="J50" s="607"/>
      <c r="L50" s="736"/>
      <c r="N50" s="304"/>
      <c r="Z50" s="107"/>
      <c r="AA50" s="107"/>
      <c r="AB50" s="107"/>
      <c r="AC50" s="107"/>
      <c r="AD50" s="107"/>
      <c r="AE50" s="107"/>
      <c r="AF50" s="107"/>
      <c r="AG50" s="107"/>
      <c r="AH50" s="107"/>
      <c r="AI50" s="107"/>
      <c r="AJ50" s="107"/>
      <c r="AK50" s="107"/>
      <c r="AL50" s="107"/>
      <c r="AM50" s="107"/>
      <c r="AN50" s="107"/>
      <c r="AO50" s="107"/>
      <c r="AP50" s="107"/>
      <c r="AQ50" s="107"/>
      <c r="AR50" s="107"/>
    </row>
    <row r="51" spans="1:44" s="18" customFormat="1" ht="96.75" hidden="1" customHeight="1" thickBot="1" x14ac:dyDescent="0.35">
      <c r="A51" s="107">
        <v>564</v>
      </c>
      <c r="B51" s="667" t="s">
        <v>59</v>
      </c>
      <c r="C51" s="846" t="s">
        <v>1506</v>
      </c>
      <c r="D51" s="740" t="s">
        <v>1503</v>
      </c>
      <c r="E51" s="701" t="e">
        <f>HLOOKUP($D$2,'2020 Data(H)'!$C$1:$CZ$428,214,FALSE)</f>
        <v>#N/A</v>
      </c>
      <c r="F51" s="770">
        <v>0</v>
      </c>
      <c r="G51" s="762"/>
      <c r="H51" s="763"/>
      <c r="J51" s="607"/>
      <c r="L51" s="736"/>
      <c r="N51" s="304"/>
      <c r="Z51" s="107"/>
      <c r="AA51" s="107"/>
      <c r="AB51" s="107"/>
      <c r="AC51" s="107"/>
      <c r="AD51" s="107"/>
      <c r="AE51" s="107"/>
      <c r="AF51" s="107"/>
      <c r="AG51" s="107"/>
      <c r="AH51" s="107"/>
      <c r="AI51" s="107"/>
      <c r="AJ51" s="107"/>
      <c r="AK51" s="107"/>
      <c r="AL51" s="107"/>
      <c r="AM51" s="107"/>
      <c r="AN51" s="107"/>
      <c r="AO51" s="107"/>
      <c r="AP51" s="107"/>
      <c r="AQ51" s="107"/>
      <c r="AR51" s="107"/>
    </row>
    <row r="52" spans="1:44" s="18" customFormat="1" ht="93.75" hidden="1" customHeight="1" thickBot="1" x14ac:dyDescent="0.35">
      <c r="A52" s="107">
        <v>568</v>
      </c>
      <c r="B52" s="667" t="s">
        <v>59</v>
      </c>
      <c r="C52" s="846" t="s">
        <v>1506</v>
      </c>
      <c r="D52" s="740" t="s">
        <v>1505</v>
      </c>
      <c r="E52" s="701" t="e">
        <f>HLOOKUP($D$2,'2020 Data(H)'!$C$1:$CZ$428,218,FALSE)</f>
        <v>#N/A</v>
      </c>
      <c r="F52" s="770">
        <v>0</v>
      </c>
      <c r="G52" s="762"/>
      <c r="H52" s="763"/>
      <c r="J52" s="607"/>
      <c r="L52" s="736"/>
      <c r="N52" s="304"/>
      <c r="Z52" s="107"/>
      <c r="AA52" s="107"/>
      <c r="AB52" s="107"/>
      <c r="AC52" s="107"/>
      <c r="AD52" s="107"/>
      <c r="AE52" s="107"/>
      <c r="AF52" s="107"/>
      <c r="AG52" s="107"/>
      <c r="AH52" s="107"/>
      <c r="AI52" s="107"/>
      <c r="AJ52" s="107"/>
      <c r="AK52" s="107"/>
      <c r="AL52" s="107"/>
      <c r="AM52" s="107"/>
      <c r="AN52" s="107"/>
      <c r="AO52" s="107"/>
      <c r="AP52" s="107"/>
      <c r="AQ52" s="107"/>
      <c r="AR52" s="107"/>
    </row>
    <row r="53" spans="1:44" s="18" customFormat="1" ht="100.5" hidden="1" customHeight="1" thickBot="1" x14ac:dyDescent="0.35">
      <c r="A53" s="107">
        <v>565</v>
      </c>
      <c r="B53" s="667" t="s">
        <v>59</v>
      </c>
      <c r="C53" s="846" t="s">
        <v>1506</v>
      </c>
      <c r="D53" s="740" t="s">
        <v>533</v>
      </c>
      <c r="E53" s="701" t="e">
        <f>HLOOKUP($D$2,'2020 Data(H)'!$C$1:$CZ$428,215,FALSE)</f>
        <v>#N/A</v>
      </c>
      <c r="F53" s="770">
        <v>0</v>
      </c>
      <c r="G53" s="762"/>
      <c r="H53" s="763"/>
      <c r="J53" s="607"/>
      <c r="L53" s="736"/>
      <c r="N53" s="304"/>
      <c r="Z53" s="107"/>
      <c r="AA53" s="107"/>
      <c r="AB53" s="107"/>
      <c r="AC53" s="107"/>
      <c r="AD53" s="107"/>
      <c r="AE53" s="107"/>
      <c r="AF53" s="107"/>
      <c r="AG53" s="107"/>
      <c r="AH53" s="107"/>
      <c r="AI53" s="107"/>
      <c r="AJ53" s="107"/>
      <c r="AK53" s="107"/>
      <c r="AL53" s="107"/>
      <c r="AM53" s="107"/>
      <c r="AN53" s="107"/>
      <c r="AO53" s="107"/>
      <c r="AP53" s="107"/>
      <c r="AQ53" s="107"/>
      <c r="AR53" s="107"/>
    </row>
    <row r="54" spans="1:44" s="18" customFormat="1" ht="98.25" hidden="1" customHeight="1" thickBot="1" x14ac:dyDescent="0.35">
      <c r="A54" s="107">
        <v>566</v>
      </c>
      <c r="B54" s="667" t="s">
        <v>59</v>
      </c>
      <c r="C54" s="846" t="s">
        <v>1506</v>
      </c>
      <c r="D54" s="740" t="s">
        <v>535</v>
      </c>
      <c r="E54" s="701" t="e">
        <f>HLOOKUP($D$2,'2020 Data(H)'!$C$1:$CZ$428,216,FALSE)</f>
        <v>#N/A</v>
      </c>
      <c r="F54" s="770">
        <v>0</v>
      </c>
      <c r="G54" s="762"/>
      <c r="H54" s="763"/>
      <c r="J54" s="607"/>
      <c r="L54" s="736"/>
      <c r="N54" s="304"/>
      <c r="Z54" s="107"/>
      <c r="AA54" s="107"/>
      <c r="AB54" s="107"/>
      <c r="AC54" s="107"/>
      <c r="AD54" s="107"/>
      <c r="AE54" s="107"/>
      <c r="AF54" s="107"/>
      <c r="AG54" s="107"/>
      <c r="AH54" s="107"/>
      <c r="AI54" s="107"/>
      <c r="AJ54" s="107"/>
      <c r="AK54" s="107"/>
      <c r="AL54" s="107"/>
      <c r="AM54" s="107"/>
      <c r="AN54" s="107"/>
      <c r="AO54" s="107"/>
      <c r="AP54" s="107"/>
      <c r="AQ54" s="107"/>
      <c r="AR54" s="107"/>
    </row>
    <row r="55" spans="1:44" s="18" customFormat="1" ht="111" hidden="1" customHeight="1" thickBot="1" x14ac:dyDescent="0.35">
      <c r="A55" s="107">
        <v>567</v>
      </c>
      <c r="B55" s="667" t="s">
        <v>59</v>
      </c>
      <c r="C55" s="846" t="s">
        <v>1506</v>
      </c>
      <c r="D55" s="740" t="s">
        <v>1498</v>
      </c>
      <c r="E55" s="701" t="e">
        <f>HLOOKUP($D$2,'2020 Data(H)'!$C$1:$CZ$428,217,FALSE)</f>
        <v>#N/A</v>
      </c>
      <c r="F55" s="770">
        <v>0</v>
      </c>
      <c r="G55" s="762"/>
      <c r="H55" s="763"/>
      <c r="J55" s="607"/>
      <c r="L55" s="736"/>
      <c r="N55" s="304"/>
      <c r="Z55" s="107"/>
      <c r="AA55" s="107"/>
      <c r="AB55" s="107"/>
      <c r="AC55" s="107"/>
      <c r="AD55" s="107"/>
      <c r="AE55" s="107"/>
      <c r="AF55" s="107"/>
      <c r="AG55" s="107"/>
      <c r="AH55" s="107"/>
      <c r="AI55" s="107"/>
      <c r="AJ55" s="107"/>
      <c r="AK55" s="107"/>
      <c r="AL55" s="107"/>
      <c r="AM55" s="107"/>
      <c r="AN55" s="107"/>
      <c r="AO55" s="107"/>
      <c r="AP55" s="107"/>
      <c r="AQ55" s="107"/>
      <c r="AR55" s="107"/>
    </row>
    <row r="56" spans="1:44" s="18" customFormat="1" ht="71.25" hidden="1" customHeight="1" thickBot="1" x14ac:dyDescent="0.35">
      <c r="A56" s="107">
        <v>562</v>
      </c>
      <c r="B56" s="667" t="s">
        <v>59</v>
      </c>
      <c r="C56" s="846" t="s">
        <v>13</v>
      </c>
      <c r="D56" s="123" t="s">
        <v>1507</v>
      </c>
      <c r="E56" s="701" t="e">
        <f>HLOOKUP($D$2,'2020 Data(H)'!$C$1:$CZ$428,212,FALSE)</f>
        <v>#N/A</v>
      </c>
      <c r="F56" s="770">
        <v>0</v>
      </c>
      <c r="G56" s="762"/>
      <c r="H56" s="763"/>
      <c r="J56" s="607"/>
      <c r="L56" s="736"/>
      <c r="N56" s="304"/>
      <c r="Z56" s="107"/>
      <c r="AA56" s="107"/>
      <c r="AB56" s="107"/>
      <c r="AC56" s="107"/>
      <c r="AD56" s="107"/>
      <c r="AE56" s="107"/>
      <c r="AF56" s="107"/>
      <c r="AG56" s="107"/>
      <c r="AH56" s="107"/>
      <c r="AI56" s="107"/>
      <c r="AJ56" s="107"/>
      <c r="AK56" s="107"/>
      <c r="AL56" s="107"/>
      <c r="AM56" s="107"/>
      <c r="AN56" s="107"/>
      <c r="AO56" s="107"/>
      <c r="AP56" s="107"/>
      <c r="AQ56" s="107"/>
      <c r="AR56" s="107"/>
    </row>
    <row r="57" spans="1:44" s="18" customFormat="1" ht="71.25" hidden="1" customHeight="1" thickBot="1" x14ac:dyDescent="0.35">
      <c r="A57" s="107">
        <v>569</v>
      </c>
      <c r="B57" s="667" t="s">
        <v>59</v>
      </c>
      <c r="C57" s="846" t="s">
        <v>13</v>
      </c>
      <c r="D57" s="740" t="s">
        <v>1508</v>
      </c>
      <c r="E57" s="701" t="e">
        <f>HLOOKUP($D$2,'2020 Data(H)'!$C$1:$CZ$428,219,FALSE)</f>
        <v>#N/A</v>
      </c>
      <c r="F57" s="770">
        <v>0</v>
      </c>
      <c r="G57" s="762"/>
      <c r="H57" s="763"/>
      <c r="J57" s="607"/>
      <c r="L57" s="736"/>
      <c r="N57" s="304"/>
      <c r="Z57" s="107"/>
      <c r="AA57" s="107"/>
      <c r="AB57" s="107"/>
      <c r="AC57" s="107"/>
      <c r="AD57" s="107"/>
      <c r="AE57" s="107"/>
      <c r="AF57" s="107"/>
      <c r="AG57" s="107"/>
      <c r="AH57" s="107"/>
      <c r="AI57" s="107"/>
      <c r="AJ57" s="107"/>
      <c r="AK57" s="107"/>
      <c r="AL57" s="107"/>
      <c r="AM57" s="107"/>
      <c r="AN57" s="107"/>
      <c r="AO57" s="107"/>
      <c r="AP57" s="107"/>
      <c r="AQ57" s="107"/>
      <c r="AR57" s="107"/>
    </row>
    <row r="58" spans="1:44" ht="27" customHeight="1" thickBot="1" x14ac:dyDescent="0.35">
      <c r="A58" s="107"/>
      <c r="B58" s="874" t="s">
        <v>145</v>
      </c>
      <c r="C58" s="875"/>
      <c r="D58" s="883"/>
      <c r="E58" s="880"/>
      <c r="F58" s="884"/>
      <c r="G58" s="885"/>
      <c r="H58" s="17"/>
      <c r="I58" s="79"/>
      <c r="L58" s="736"/>
      <c r="Z58" s="107"/>
      <c r="AA58" s="107"/>
      <c r="AB58" s="107"/>
      <c r="AC58" s="107"/>
      <c r="AD58" s="107"/>
      <c r="AE58" s="107"/>
      <c r="AF58" s="107"/>
      <c r="AG58" s="107"/>
      <c r="AH58" s="107"/>
      <c r="AI58" s="107"/>
      <c r="AJ58" s="107"/>
      <c r="AK58" s="107"/>
      <c r="AL58" s="107"/>
      <c r="AM58" s="107"/>
      <c r="AN58" s="107"/>
      <c r="AO58" s="107"/>
      <c r="AP58" s="107"/>
      <c r="AQ58" s="107"/>
      <c r="AR58" s="107"/>
    </row>
    <row r="59" spans="1:44" s="18" customFormat="1" ht="55.5" customHeight="1" thickBot="1" x14ac:dyDescent="0.35">
      <c r="A59" s="107">
        <v>506</v>
      </c>
      <c r="B59" s="847" t="s">
        <v>55</v>
      </c>
      <c r="C59" s="847" t="s">
        <v>149</v>
      </c>
      <c r="D59" s="106" t="s">
        <v>1555</v>
      </c>
      <c r="E59" s="960" t="e">
        <f>HLOOKUP($D$2,'2020 Data(H)'!$C$1:$CZ$428,156,FALSE)</f>
        <v>#N/A</v>
      </c>
      <c r="F59" s="303">
        <v>0</v>
      </c>
      <c r="G59" s="762">
        <f>IF(F59&lt;0,"Note: Number is normally positive.",)</f>
        <v>0</v>
      </c>
      <c r="H59" s="763"/>
      <c r="I59" s="79"/>
      <c r="J59" s="607"/>
      <c r="L59" s="736"/>
      <c r="N59" s="304"/>
      <c r="Z59" s="107"/>
      <c r="AA59" s="107"/>
      <c r="AB59" s="107"/>
      <c r="AC59" s="107"/>
      <c r="AD59" s="107"/>
      <c r="AE59" s="107"/>
      <c r="AF59" s="107"/>
      <c r="AG59" s="107"/>
      <c r="AH59" s="107"/>
      <c r="AI59" s="107"/>
      <c r="AJ59" s="107"/>
      <c r="AK59" s="107"/>
      <c r="AL59" s="107"/>
      <c r="AM59" s="107"/>
      <c r="AN59" s="107"/>
      <c r="AO59" s="107"/>
      <c r="AP59" s="107"/>
      <c r="AQ59" s="107"/>
      <c r="AR59" s="107"/>
    </row>
    <row r="60" spans="1:44" s="18" customFormat="1" ht="45.75" customHeight="1" thickBot="1" x14ac:dyDescent="0.35">
      <c r="A60" s="107">
        <v>536</v>
      </c>
      <c r="B60" s="847" t="s">
        <v>55</v>
      </c>
      <c r="C60" s="847" t="s">
        <v>149</v>
      </c>
      <c r="D60" s="106" t="s">
        <v>146</v>
      </c>
      <c r="E60" s="701" t="e">
        <f>HLOOKUP($D$2,'2020 Data(H)'!$C$1:$CZ$428,186,FALSE)</f>
        <v>#N/A</v>
      </c>
      <c r="F60" s="303">
        <v>0</v>
      </c>
      <c r="G60" s="762">
        <f>IF(F60&lt;0,"Note: Number is normally positive.",)</f>
        <v>0</v>
      </c>
      <c r="H60" s="763"/>
      <c r="I60" s="764"/>
      <c r="J60" s="607"/>
      <c r="L60" s="736"/>
      <c r="N60" s="304"/>
      <c r="Z60" s="107"/>
      <c r="AA60" s="107"/>
      <c r="AB60" s="107"/>
      <c r="AC60" s="107"/>
      <c r="AD60" s="107"/>
      <c r="AE60" s="107"/>
      <c r="AF60" s="107"/>
      <c r="AG60" s="107"/>
      <c r="AH60" s="107"/>
      <c r="AI60" s="107"/>
      <c r="AJ60" s="107"/>
      <c r="AK60" s="107"/>
      <c r="AL60" s="107"/>
      <c r="AM60" s="107"/>
      <c r="AN60" s="107"/>
      <c r="AO60" s="107"/>
      <c r="AP60" s="107"/>
      <c r="AQ60" s="107"/>
      <c r="AR60" s="107"/>
    </row>
    <row r="61" spans="1:44" s="18" customFormat="1" ht="51.75" customHeight="1" thickBot="1" x14ac:dyDescent="0.35">
      <c r="A61" s="107">
        <v>586</v>
      </c>
      <c r="B61" s="847" t="s">
        <v>59</v>
      </c>
      <c r="C61" s="847" t="s">
        <v>149</v>
      </c>
      <c r="D61" s="712" t="s">
        <v>561</v>
      </c>
      <c r="E61" s="701" t="e">
        <f>HLOOKUP($D$2,'2020 Data(H)'!$C$1:$CZ$428,236,FALSE)</f>
        <v>#N/A</v>
      </c>
      <c r="F61" s="303">
        <v>0</v>
      </c>
      <c r="G61" s="762">
        <f>IF(F61&lt;0,"Note: Number is normally positive.",)</f>
        <v>0</v>
      </c>
      <c r="H61" s="763"/>
      <c r="I61" s="764"/>
      <c r="L61" s="736"/>
      <c r="N61" s="304"/>
      <c r="Z61" s="107"/>
      <c r="AA61" s="107"/>
      <c r="AB61" s="107"/>
      <c r="AC61" s="107"/>
      <c r="AD61" s="107"/>
      <c r="AE61" s="107"/>
      <c r="AF61" s="107"/>
      <c r="AG61" s="107"/>
      <c r="AH61" s="107"/>
      <c r="AI61" s="107"/>
      <c r="AJ61" s="107"/>
      <c r="AK61" s="107"/>
      <c r="AL61" s="107"/>
      <c r="AM61" s="107"/>
      <c r="AN61" s="107"/>
      <c r="AO61" s="107"/>
      <c r="AP61" s="107"/>
      <c r="AQ61" s="107"/>
      <c r="AR61" s="107"/>
    </row>
    <row r="62" spans="1:44" ht="37.5" customHeight="1" thickBot="1" x14ac:dyDescent="0.35">
      <c r="A62" s="107">
        <v>379</v>
      </c>
      <c r="B62" s="847" t="s">
        <v>60</v>
      </c>
      <c r="C62" s="847" t="s">
        <v>149</v>
      </c>
      <c r="D62" s="106" t="s">
        <v>130</v>
      </c>
      <c r="E62" s="701" t="e">
        <f>HLOOKUP($D$2,'2020 Data(H)'!$C$1:$CZ$428,138,FALSE)</f>
        <v>#N/A</v>
      </c>
      <c r="F62" s="303">
        <v>0</v>
      </c>
      <c r="G62" s="762">
        <f>IF((F59+F60)&gt;F62,"Error: Please review account numbers (506+536)&gt;379",)</f>
        <v>0</v>
      </c>
      <c r="H62" s="17"/>
      <c r="I62" s="79"/>
      <c r="J62" s="607"/>
      <c r="L62" s="736"/>
      <c r="Z62" s="107"/>
      <c r="AA62" s="107"/>
      <c r="AB62" s="107"/>
      <c r="AC62" s="107"/>
      <c r="AD62" s="107"/>
      <c r="AE62" s="107"/>
      <c r="AF62" s="107"/>
      <c r="AG62" s="107"/>
      <c r="AH62" s="107"/>
      <c r="AI62" s="107"/>
      <c r="AJ62" s="107"/>
      <c r="AK62" s="107"/>
      <c r="AL62" s="107"/>
      <c r="AM62" s="107"/>
      <c r="AN62" s="107"/>
      <c r="AO62" s="107"/>
      <c r="AP62" s="107"/>
      <c r="AQ62" s="107"/>
      <c r="AR62" s="107"/>
    </row>
    <row r="63" spans="1:44" ht="93" customHeight="1" thickBot="1" x14ac:dyDescent="0.35">
      <c r="A63" s="107">
        <v>368</v>
      </c>
      <c r="B63" s="847" t="s">
        <v>69</v>
      </c>
      <c r="C63" s="847" t="s">
        <v>149</v>
      </c>
      <c r="D63" s="740" t="s">
        <v>1556</v>
      </c>
      <c r="E63" s="701" t="e">
        <f>HLOOKUP($D$2,'2020 Data(H)'!$C$1:$CZ$428,129,FALSE)</f>
        <v>#N/A</v>
      </c>
      <c r="F63" s="303">
        <v>0</v>
      </c>
      <c r="G63" s="762">
        <f t="shared" ref="G63:G69" si="1">IF(F63&lt;0,"Error: Enter as positive.",)</f>
        <v>0</v>
      </c>
      <c r="H63" s="17"/>
      <c r="I63" s="763"/>
      <c r="J63" s="607"/>
      <c r="L63" s="736"/>
      <c r="Z63" s="107"/>
      <c r="AA63" s="107"/>
      <c r="AB63" s="107"/>
      <c r="AC63" s="107"/>
      <c r="AD63" s="107"/>
      <c r="AE63" s="107"/>
      <c r="AF63" s="107"/>
      <c r="AG63" s="107"/>
      <c r="AH63" s="107"/>
      <c r="AI63" s="107"/>
      <c r="AJ63" s="107"/>
      <c r="AK63" s="107"/>
      <c r="AL63" s="107"/>
      <c r="AM63" s="107"/>
      <c r="AN63" s="107"/>
      <c r="AO63" s="107"/>
      <c r="AP63" s="107"/>
      <c r="AQ63" s="107"/>
      <c r="AR63" s="107"/>
    </row>
    <row r="64" spans="1:44" ht="99.75" customHeight="1" thickBot="1" x14ac:dyDescent="0.35">
      <c r="A64" s="107">
        <v>4</v>
      </c>
      <c r="B64" s="847" t="s">
        <v>55</v>
      </c>
      <c r="C64" s="847" t="s">
        <v>149</v>
      </c>
      <c r="D64" s="315" t="s">
        <v>1557</v>
      </c>
      <c r="E64" s="701" t="e">
        <f>HLOOKUP($D$2,'2020 Data(H)'!$C$1:$CZ$428,3,FALSE)</f>
        <v>#N/A</v>
      </c>
      <c r="F64" s="303">
        <v>0</v>
      </c>
      <c r="G64" s="762">
        <f t="shared" si="1"/>
        <v>0</v>
      </c>
      <c r="H64" s="17"/>
      <c r="I64" s="79"/>
      <c r="J64" s="607"/>
      <c r="L64" s="736"/>
      <c r="Z64" s="107"/>
      <c r="AA64" s="107"/>
      <c r="AB64" s="107"/>
      <c r="AC64" s="107"/>
      <c r="AD64" s="107"/>
      <c r="AE64" s="107"/>
      <c r="AF64" s="107"/>
      <c r="AG64" s="107"/>
      <c r="AH64" s="107"/>
      <c r="AI64" s="107"/>
      <c r="AJ64" s="107"/>
      <c r="AK64" s="107"/>
      <c r="AL64" s="107"/>
      <c r="AM64" s="107"/>
      <c r="AN64" s="107"/>
      <c r="AO64" s="107"/>
      <c r="AP64" s="107"/>
      <c r="AQ64" s="107"/>
      <c r="AR64" s="107"/>
    </row>
    <row r="65" spans="1:44" ht="132" customHeight="1" thickBot="1" x14ac:dyDescent="0.35">
      <c r="A65" s="107">
        <v>5</v>
      </c>
      <c r="B65" s="847" t="s">
        <v>55</v>
      </c>
      <c r="C65" s="847" t="s">
        <v>149</v>
      </c>
      <c r="D65" s="343" t="s">
        <v>1558</v>
      </c>
      <c r="E65" s="701" t="e">
        <f>HLOOKUP($D$2,'2020 Data(H)'!$C$1:$CZ$428,4,FALSE)</f>
        <v>#N/A</v>
      </c>
      <c r="F65" s="303">
        <v>0</v>
      </c>
      <c r="G65" s="762">
        <f t="shared" si="1"/>
        <v>0</v>
      </c>
      <c r="H65" s="17"/>
      <c r="I65" s="79"/>
      <c r="J65" s="607"/>
      <c r="L65" s="736"/>
      <c r="Z65" s="107"/>
      <c r="AA65" s="107"/>
      <c r="AB65" s="107"/>
      <c r="AC65" s="107"/>
      <c r="AD65" s="107"/>
      <c r="AE65" s="107"/>
      <c r="AF65" s="107"/>
      <c r="AG65" s="107"/>
      <c r="AH65" s="107"/>
      <c r="AI65" s="107"/>
      <c r="AJ65" s="107"/>
      <c r="AK65" s="107"/>
      <c r="AL65" s="107"/>
      <c r="AM65" s="107"/>
      <c r="AN65" s="107"/>
      <c r="AO65" s="107"/>
      <c r="AP65" s="107"/>
      <c r="AQ65" s="107"/>
      <c r="AR65" s="107"/>
    </row>
    <row r="66" spans="1:44" ht="93.75" customHeight="1" thickBot="1" x14ac:dyDescent="0.35">
      <c r="A66" s="107">
        <v>380</v>
      </c>
      <c r="B66" s="847" t="s">
        <v>60</v>
      </c>
      <c r="C66" s="847" t="s">
        <v>149</v>
      </c>
      <c r="D66" s="343" t="s">
        <v>1559</v>
      </c>
      <c r="E66" s="701" t="e">
        <f>HLOOKUP($D$2,'2020 Data(H)'!$C$1:$CZ$428,139,FALSE)</f>
        <v>#N/A</v>
      </c>
      <c r="F66" s="303">
        <v>0</v>
      </c>
      <c r="G66" s="762">
        <f t="shared" si="1"/>
        <v>0</v>
      </c>
      <c r="H66" s="17"/>
      <c r="I66" s="79"/>
      <c r="J66" s="607"/>
      <c r="L66" s="736"/>
      <c r="Z66" s="107"/>
      <c r="AA66" s="107"/>
      <c r="AB66" s="107"/>
      <c r="AC66" s="107"/>
      <c r="AD66" s="107"/>
      <c r="AE66" s="107"/>
      <c r="AF66" s="107"/>
      <c r="AG66" s="107"/>
      <c r="AH66" s="107"/>
      <c r="AI66" s="107"/>
      <c r="AJ66" s="107"/>
      <c r="AK66" s="107"/>
      <c r="AL66" s="107"/>
      <c r="AM66" s="107"/>
      <c r="AN66" s="107"/>
      <c r="AO66" s="107"/>
      <c r="AP66" s="107"/>
      <c r="AQ66" s="107"/>
      <c r="AR66" s="107"/>
    </row>
    <row r="67" spans="1:44" ht="48.75" customHeight="1" thickBot="1" x14ac:dyDescent="0.35">
      <c r="A67" s="107">
        <v>391</v>
      </c>
      <c r="B67" s="847" t="s">
        <v>69</v>
      </c>
      <c r="C67" s="847" t="s">
        <v>149</v>
      </c>
      <c r="D67" s="106" t="s">
        <v>147</v>
      </c>
      <c r="E67" s="701" t="e">
        <f>HLOOKUP($D$2,'2020 Data(H)'!$C$1:$CZ$428,149,FALSE)</f>
        <v>#N/A</v>
      </c>
      <c r="F67" s="303">
        <v>0</v>
      </c>
      <c r="G67" s="762">
        <f t="shared" si="1"/>
        <v>0</v>
      </c>
      <c r="H67" s="17"/>
      <c r="I67" s="79"/>
      <c r="J67" s="607"/>
      <c r="L67" s="736"/>
      <c r="Z67" s="107"/>
      <c r="AA67" s="107"/>
      <c r="AB67" s="107"/>
      <c r="AC67" s="107"/>
      <c r="AD67" s="107"/>
      <c r="AE67" s="107"/>
      <c r="AF67" s="107"/>
      <c r="AG67" s="107"/>
      <c r="AH67" s="107"/>
      <c r="AI67" s="107"/>
      <c r="AJ67" s="107"/>
      <c r="AK67" s="107"/>
      <c r="AL67" s="107"/>
      <c r="AM67" s="107"/>
      <c r="AN67" s="107"/>
      <c r="AO67" s="107"/>
      <c r="AP67" s="107"/>
      <c r="AQ67" s="107"/>
      <c r="AR67" s="107"/>
    </row>
    <row r="68" spans="1:44" ht="51.75" customHeight="1" thickBot="1" x14ac:dyDescent="0.35">
      <c r="A68" s="107">
        <v>7</v>
      </c>
      <c r="B68" s="847" t="s">
        <v>69</v>
      </c>
      <c r="C68" s="847" t="s">
        <v>149</v>
      </c>
      <c r="D68" s="106" t="s">
        <v>148</v>
      </c>
      <c r="E68" s="701" t="e">
        <f>HLOOKUP($D$2,'2020 Data(H)'!$C$1:$CZ$428,6,FALSE)</f>
        <v>#N/A</v>
      </c>
      <c r="F68" s="303">
        <v>0</v>
      </c>
      <c r="G68" s="762">
        <f t="shared" si="1"/>
        <v>0</v>
      </c>
      <c r="H68" s="17"/>
      <c r="I68" s="79"/>
      <c r="J68" s="607"/>
      <c r="L68" s="736"/>
      <c r="Z68" s="107"/>
      <c r="AA68" s="107"/>
      <c r="AB68" s="107"/>
      <c r="AC68" s="107"/>
      <c r="AD68" s="107"/>
      <c r="AE68" s="107"/>
      <c r="AF68" s="107"/>
      <c r="AG68" s="107"/>
      <c r="AH68" s="107"/>
      <c r="AI68" s="107"/>
      <c r="AJ68" s="107"/>
      <c r="AK68" s="107"/>
      <c r="AL68" s="107"/>
      <c r="AM68" s="107"/>
      <c r="AN68" s="107"/>
      <c r="AO68" s="107"/>
      <c r="AP68" s="107"/>
      <c r="AQ68" s="107"/>
      <c r="AR68" s="107"/>
    </row>
    <row r="69" spans="1:44" ht="78.75" customHeight="1" thickBot="1" x14ac:dyDescent="0.35">
      <c r="A69" s="107">
        <v>11</v>
      </c>
      <c r="B69" s="847" t="s">
        <v>69</v>
      </c>
      <c r="C69" s="847" t="s">
        <v>149</v>
      </c>
      <c r="D69" s="740" t="s">
        <v>1560</v>
      </c>
      <c r="E69" s="701" t="e">
        <f>HLOOKUP($D$2,'2020 Data(H)'!$C$1:$CZ$428,8,FALSE)</f>
        <v>#N/A</v>
      </c>
      <c r="F69" s="303">
        <v>0</v>
      </c>
      <c r="G69" s="762">
        <f t="shared" si="1"/>
        <v>0</v>
      </c>
      <c r="H69" s="17"/>
      <c r="I69" s="79"/>
      <c r="J69" s="607"/>
      <c r="L69" s="736"/>
      <c r="Z69" s="107"/>
      <c r="AA69" s="107"/>
      <c r="AB69" s="107"/>
      <c r="AC69" s="107"/>
      <c r="AD69" s="107"/>
      <c r="AE69" s="107"/>
      <c r="AF69" s="107"/>
      <c r="AG69" s="107"/>
      <c r="AH69" s="107"/>
      <c r="AI69" s="107"/>
      <c r="AJ69" s="107"/>
      <c r="AK69" s="107"/>
      <c r="AL69" s="107"/>
      <c r="AM69" s="107"/>
      <c r="AN69" s="107"/>
      <c r="AO69" s="107"/>
      <c r="AP69" s="107"/>
      <c r="AQ69" s="107"/>
      <c r="AR69" s="107"/>
    </row>
    <row r="70" spans="1:44" ht="78.75" customHeight="1" thickBot="1" x14ac:dyDescent="0.35">
      <c r="A70" s="316">
        <v>645</v>
      </c>
      <c r="B70" s="844" t="s">
        <v>725</v>
      </c>
      <c r="C70" s="844" t="s">
        <v>149</v>
      </c>
      <c r="D70" s="735" t="s">
        <v>758</v>
      </c>
      <c r="E70" s="701" t="e">
        <f>HLOOKUP($D$2,'2020 Data(H)'!$C$1:$CZ$428,304,FALSE)</f>
        <v>#N/A</v>
      </c>
      <c r="F70" s="303">
        <v>0</v>
      </c>
      <c r="G70" s="762">
        <f>IF(F70&lt;0,"Note: Number is normally positive.",)</f>
        <v>0</v>
      </c>
      <c r="H70" s="763"/>
      <c r="I70" s="764"/>
      <c r="J70" s="607"/>
      <c r="L70" s="736"/>
      <c r="Z70" s="316"/>
      <c r="AA70" s="316"/>
      <c r="AB70" s="316"/>
      <c r="AC70" s="316"/>
      <c r="AD70" s="316"/>
      <c r="AE70" s="316"/>
      <c r="AF70" s="316"/>
      <c r="AG70" s="316"/>
      <c r="AH70" s="316"/>
      <c r="AI70" s="316"/>
      <c r="AJ70" s="316"/>
      <c r="AK70" s="316"/>
      <c r="AL70" s="316"/>
      <c r="AM70" s="316"/>
      <c r="AN70" s="316"/>
      <c r="AO70" s="316"/>
      <c r="AP70" s="316"/>
      <c r="AQ70" s="316"/>
      <c r="AR70" s="316"/>
    </row>
    <row r="71" spans="1:44" ht="78.75" customHeight="1" thickBot="1" x14ac:dyDescent="0.35">
      <c r="A71" s="316">
        <v>646</v>
      </c>
      <c r="B71" s="844" t="s">
        <v>725</v>
      </c>
      <c r="C71" s="844" t="s">
        <v>149</v>
      </c>
      <c r="D71" s="315" t="s">
        <v>726</v>
      </c>
      <c r="E71" s="701" t="e">
        <f>HLOOKUP($D$2,'2020 Data(H)'!$C$1:$CZ$428,305,FALSE)</f>
        <v>#N/A</v>
      </c>
      <c r="F71" s="303">
        <v>0</v>
      </c>
      <c r="G71" s="762">
        <f>IF(F71&lt;0,"Note: Number is normally positive.",)</f>
        <v>0</v>
      </c>
      <c r="H71" s="763"/>
      <c r="I71" s="764"/>
      <c r="J71" s="607"/>
      <c r="L71" s="736"/>
      <c r="Z71" s="316"/>
      <c r="AA71" s="316"/>
      <c r="AB71" s="316"/>
      <c r="AC71" s="316"/>
      <c r="AD71" s="316"/>
      <c r="AE71" s="316"/>
      <c r="AF71" s="316"/>
      <c r="AG71" s="316"/>
      <c r="AH71" s="316"/>
      <c r="AI71" s="316"/>
      <c r="AJ71" s="316"/>
      <c r="AK71" s="316"/>
      <c r="AL71" s="316"/>
      <c r="AM71" s="316"/>
      <c r="AN71" s="316"/>
      <c r="AO71" s="316"/>
      <c r="AP71" s="316"/>
      <c r="AQ71" s="316"/>
      <c r="AR71" s="316"/>
    </row>
    <row r="72" spans="1:44" ht="57.75" customHeight="1" thickBot="1" x14ac:dyDescent="0.35">
      <c r="A72" s="107">
        <v>9</v>
      </c>
      <c r="B72" s="847" t="s">
        <v>60</v>
      </c>
      <c r="C72" s="847" t="s">
        <v>149</v>
      </c>
      <c r="D72" s="740" t="s">
        <v>1561</v>
      </c>
      <c r="E72" s="701" t="e">
        <f>HLOOKUP($D$2,'2020 Data(H)'!$C$1:$CZ$428,7,FALSE)</f>
        <v>#N/A</v>
      </c>
      <c r="F72" s="303">
        <v>0</v>
      </c>
      <c r="G72" s="762">
        <f>IF(F62-F64-F65-F66-F72=0,,"Error: Total assets less total liabilities do not equal total fund balance. Account numbers 379-4-5-380-9= 0  The amount of the formula is in the cell to the right")</f>
        <v>0</v>
      </c>
      <c r="H72" s="765">
        <f>F62-F64-F65-F66-F72</f>
        <v>0</v>
      </c>
      <c r="I72" s="79"/>
      <c r="J72" s="607"/>
      <c r="L72" s="736"/>
      <c r="Z72" s="107"/>
      <c r="AA72" s="107"/>
      <c r="AB72" s="107"/>
      <c r="AC72" s="107"/>
      <c r="AD72" s="107"/>
      <c r="AE72" s="107"/>
      <c r="AF72" s="107"/>
      <c r="AG72" s="107"/>
      <c r="AH72" s="107"/>
      <c r="AI72" s="107"/>
      <c r="AJ72" s="107"/>
      <c r="AK72" s="107"/>
      <c r="AL72" s="107"/>
      <c r="AM72" s="107"/>
      <c r="AN72" s="107"/>
      <c r="AO72" s="107"/>
      <c r="AP72" s="107"/>
      <c r="AQ72" s="107"/>
      <c r="AR72" s="107"/>
    </row>
    <row r="73" spans="1:44" s="18" customFormat="1" ht="63.75" customHeight="1" thickBot="1" x14ac:dyDescent="0.35">
      <c r="A73" s="107">
        <v>540</v>
      </c>
      <c r="B73" s="667" t="s">
        <v>59</v>
      </c>
      <c r="C73" s="667" t="s">
        <v>1562</v>
      </c>
      <c r="D73" s="106" t="s">
        <v>759</v>
      </c>
      <c r="E73" s="701" t="e">
        <f>HLOOKUP($D$2,'2020 Data(H)'!$C$1:$CZ$428,190,FALSE)</f>
        <v>#N/A</v>
      </c>
      <c r="F73" s="303">
        <v>0</v>
      </c>
      <c r="G73" s="762"/>
      <c r="H73" s="763"/>
      <c r="I73" s="764"/>
      <c r="J73" s="607"/>
      <c r="L73" s="736"/>
      <c r="N73" s="304"/>
      <c r="Z73" s="107"/>
      <c r="AA73" s="107"/>
      <c r="AB73" s="107"/>
      <c r="AC73" s="107"/>
      <c r="AD73" s="107"/>
      <c r="AE73" s="107"/>
      <c r="AF73" s="107"/>
      <c r="AG73" s="107"/>
      <c r="AH73" s="107"/>
      <c r="AI73" s="107"/>
      <c r="AJ73" s="107"/>
      <c r="AK73" s="107"/>
      <c r="AL73" s="107"/>
      <c r="AM73" s="107"/>
      <c r="AN73" s="107"/>
      <c r="AO73" s="107"/>
      <c r="AP73" s="107"/>
      <c r="AQ73" s="107"/>
      <c r="AR73" s="107"/>
    </row>
    <row r="74" spans="1:44" ht="30" customHeight="1" thickBot="1" x14ac:dyDescent="0.35">
      <c r="A74" s="107"/>
      <c r="B74" s="874" t="s">
        <v>151</v>
      </c>
      <c r="C74" s="875"/>
      <c r="D74" s="879"/>
      <c r="E74" s="880"/>
      <c r="F74" s="881"/>
      <c r="G74" s="882"/>
      <c r="H74" s="17"/>
      <c r="I74" s="79"/>
      <c r="L74" s="736"/>
      <c r="Z74" s="107"/>
      <c r="AA74" s="107"/>
      <c r="AB74" s="107"/>
      <c r="AC74" s="107"/>
      <c r="AD74" s="107"/>
      <c r="AE74" s="107"/>
      <c r="AF74" s="107"/>
      <c r="AG74" s="107"/>
      <c r="AH74" s="107"/>
      <c r="AI74" s="107"/>
      <c r="AJ74" s="107"/>
      <c r="AK74" s="107"/>
      <c r="AL74" s="107"/>
      <c r="AM74" s="107"/>
      <c r="AN74" s="107"/>
      <c r="AO74" s="107"/>
      <c r="AP74" s="107"/>
      <c r="AQ74" s="107"/>
      <c r="AR74" s="107"/>
    </row>
    <row r="75" spans="1:44" ht="82.5" customHeight="1" thickBot="1" x14ac:dyDescent="0.35">
      <c r="A75" s="107">
        <v>984</v>
      </c>
      <c r="B75" s="746" t="s">
        <v>1132</v>
      </c>
      <c r="C75" s="746" t="s">
        <v>1562</v>
      </c>
      <c r="D75" s="771" t="s">
        <v>1657</v>
      </c>
      <c r="E75" s="701" t="s">
        <v>1133</v>
      </c>
      <c r="F75" s="303">
        <v>0</v>
      </c>
      <c r="G75" s="762"/>
      <c r="H75" s="17"/>
      <c r="I75" s="79"/>
      <c r="J75" s="607"/>
      <c r="L75" s="736"/>
      <c r="Z75" s="107"/>
      <c r="AA75" s="107"/>
      <c r="AB75" s="107"/>
      <c r="AC75" s="107"/>
      <c r="AD75" s="107"/>
      <c r="AE75" s="107"/>
      <c r="AF75" s="107"/>
      <c r="AG75" s="107"/>
      <c r="AH75" s="107"/>
      <c r="AI75" s="107"/>
      <c r="AJ75" s="107"/>
      <c r="AK75" s="107"/>
      <c r="AL75" s="107"/>
      <c r="AM75" s="107"/>
      <c r="AN75" s="107"/>
      <c r="AO75" s="107"/>
      <c r="AP75" s="107"/>
      <c r="AQ75" s="107"/>
      <c r="AR75" s="107"/>
    </row>
    <row r="76" spans="1:44" ht="69" customHeight="1" thickBot="1" x14ac:dyDescent="0.35">
      <c r="A76" s="107">
        <v>985</v>
      </c>
      <c r="B76" s="746" t="s">
        <v>1132</v>
      </c>
      <c r="C76" s="746" t="s">
        <v>1562</v>
      </c>
      <c r="D76" s="771" t="s">
        <v>1658</v>
      </c>
      <c r="E76" s="701" t="s">
        <v>1133</v>
      </c>
      <c r="F76" s="303">
        <v>0</v>
      </c>
      <c r="G76" s="762"/>
      <c r="H76" s="17"/>
      <c r="I76" s="79"/>
      <c r="J76" s="607"/>
      <c r="L76" s="736"/>
      <c r="Z76" s="107"/>
      <c r="AA76" s="107"/>
      <c r="AB76" s="107"/>
      <c r="AC76" s="107"/>
      <c r="AD76" s="107"/>
      <c r="AE76" s="107"/>
      <c r="AF76" s="107"/>
      <c r="AG76" s="107"/>
      <c r="AH76" s="107"/>
      <c r="AI76" s="107"/>
      <c r="AJ76" s="107"/>
      <c r="AK76" s="107"/>
      <c r="AL76" s="107"/>
      <c r="AM76" s="107"/>
      <c r="AN76" s="107"/>
      <c r="AO76" s="107"/>
      <c r="AP76" s="107"/>
      <c r="AQ76" s="107"/>
      <c r="AR76" s="107"/>
    </row>
    <row r="77" spans="1:44" ht="52.5" customHeight="1" thickBot="1" x14ac:dyDescent="0.35">
      <c r="A77" s="107">
        <v>369</v>
      </c>
      <c r="B77" s="625" t="s">
        <v>56</v>
      </c>
      <c r="C77" s="625" t="s">
        <v>152</v>
      </c>
      <c r="D77" s="740" t="s">
        <v>1563</v>
      </c>
      <c r="E77" s="701" t="e">
        <f>HLOOKUP($D$2,'2020 Data(H)'!$C$1:$CZ$428,130,FALSE)</f>
        <v>#N/A</v>
      </c>
      <c r="F77" s="303">
        <v>0</v>
      </c>
      <c r="G77" s="762"/>
      <c r="H77" s="17"/>
      <c r="I77" s="79"/>
      <c r="J77" s="607"/>
      <c r="L77" s="736"/>
      <c r="Z77" s="107"/>
      <c r="AA77" s="107"/>
      <c r="AB77" s="107"/>
      <c r="AC77" s="107"/>
      <c r="AD77" s="107"/>
      <c r="AE77" s="107"/>
      <c r="AF77" s="107"/>
      <c r="AG77" s="107"/>
      <c r="AH77" s="107"/>
      <c r="AI77" s="107"/>
      <c r="AJ77" s="107"/>
      <c r="AK77" s="107"/>
      <c r="AL77" s="107"/>
      <c r="AM77" s="107"/>
      <c r="AN77" s="107"/>
      <c r="AO77" s="107"/>
      <c r="AP77" s="107"/>
      <c r="AQ77" s="107"/>
      <c r="AR77" s="107"/>
    </row>
    <row r="78" spans="1:44" ht="57.75" customHeight="1" thickBot="1" x14ac:dyDescent="0.35">
      <c r="A78" s="107">
        <v>16</v>
      </c>
      <c r="B78" s="625" t="s">
        <v>66</v>
      </c>
      <c r="C78" s="625" t="s">
        <v>152</v>
      </c>
      <c r="D78" s="106" t="s">
        <v>150</v>
      </c>
      <c r="E78" s="701" t="e">
        <f>HLOOKUP($D$2,'2020 Data(H)'!$C$1:$CZ$428,12,FALSE)</f>
        <v>#N/A</v>
      </c>
      <c r="F78" s="303">
        <v>0</v>
      </c>
      <c r="G78" s="762"/>
      <c r="H78" s="17"/>
      <c r="I78" s="79"/>
      <c r="J78" s="607"/>
      <c r="L78" s="736"/>
      <c r="Z78" s="107"/>
      <c r="AA78" s="107"/>
      <c r="AB78" s="107"/>
      <c r="AC78" s="107"/>
      <c r="AD78" s="107"/>
      <c r="AE78" s="107"/>
      <c r="AF78" s="107"/>
      <c r="AG78" s="107"/>
      <c r="AH78" s="107"/>
      <c r="AI78" s="107"/>
      <c r="AJ78" s="107"/>
      <c r="AK78" s="107"/>
      <c r="AL78" s="107"/>
      <c r="AM78" s="107"/>
      <c r="AN78" s="107"/>
      <c r="AO78" s="107"/>
      <c r="AP78" s="107"/>
      <c r="AQ78" s="107"/>
      <c r="AR78" s="107"/>
    </row>
    <row r="79" spans="1:44" ht="65.25" customHeight="1" thickBot="1" x14ac:dyDescent="0.35">
      <c r="A79" s="107">
        <v>370</v>
      </c>
      <c r="B79" s="625" t="s">
        <v>56</v>
      </c>
      <c r="C79" s="625" t="s">
        <v>152</v>
      </c>
      <c r="D79" s="740" t="s">
        <v>1564</v>
      </c>
      <c r="E79" s="701" t="e">
        <f>HLOOKUP($D$2,'2020 Data(H)'!$C$1:$CZ$428,131,FALSE)</f>
        <v>#N/A</v>
      </c>
      <c r="F79" s="303">
        <v>0</v>
      </c>
      <c r="G79" s="762">
        <f>IF(F79&lt;0,"Error: Enter as positive.",)</f>
        <v>0</v>
      </c>
      <c r="H79" s="17"/>
      <c r="I79" s="79"/>
      <c r="J79" s="607"/>
      <c r="L79" s="736"/>
      <c r="Z79" s="107"/>
      <c r="AA79" s="107"/>
      <c r="AB79" s="107"/>
      <c r="AC79" s="107"/>
      <c r="AD79" s="107"/>
      <c r="AE79" s="107"/>
      <c r="AF79" s="107"/>
      <c r="AG79" s="107"/>
      <c r="AH79" s="107"/>
      <c r="AI79" s="107"/>
      <c r="AJ79" s="107"/>
      <c r="AK79" s="107"/>
      <c r="AL79" s="107"/>
      <c r="AM79" s="107"/>
      <c r="AN79" s="107"/>
      <c r="AO79" s="107"/>
      <c r="AP79" s="107"/>
      <c r="AQ79" s="107"/>
      <c r="AR79" s="107"/>
    </row>
    <row r="80" spans="1:44" ht="69.75" customHeight="1" thickBot="1" x14ac:dyDescent="0.35">
      <c r="A80" s="107">
        <v>532</v>
      </c>
      <c r="B80" s="625" t="s">
        <v>55</v>
      </c>
      <c r="C80" s="625" t="s">
        <v>152</v>
      </c>
      <c r="D80" s="725" t="s">
        <v>1565</v>
      </c>
      <c r="E80" s="701" t="e">
        <f>HLOOKUP($D$2,'2020 Data(H)'!$C$1:$CZ$428,182,FALSE)</f>
        <v>#N/A</v>
      </c>
      <c r="F80" s="303">
        <v>0</v>
      </c>
      <c r="G80" s="762">
        <f>IF(F80&lt;0,"Error: Enter as positive.",)</f>
        <v>0</v>
      </c>
      <c r="H80" s="17"/>
      <c r="I80" s="79"/>
      <c r="J80" s="607"/>
      <c r="L80" s="736"/>
      <c r="Z80" s="107"/>
      <c r="AA80" s="107"/>
      <c r="AB80" s="107"/>
      <c r="AC80" s="107"/>
      <c r="AD80" s="107"/>
      <c r="AE80" s="107"/>
      <c r="AF80" s="107"/>
      <c r="AG80" s="107"/>
      <c r="AH80" s="107"/>
      <c r="AI80" s="107"/>
      <c r="AJ80" s="107"/>
      <c r="AK80" s="107"/>
      <c r="AL80" s="107"/>
      <c r="AM80" s="107"/>
      <c r="AN80" s="107"/>
      <c r="AO80" s="107"/>
      <c r="AP80" s="107"/>
      <c r="AQ80" s="107"/>
      <c r="AR80" s="107"/>
    </row>
    <row r="81" spans="1:44" ht="54" customHeight="1" thickBot="1" x14ac:dyDescent="0.35">
      <c r="A81" s="107">
        <v>17</v>
      </c>
      <c r="B81" s="625" t="s">
        <v>60</v>
      </c>
      <c r="C81" s="625" t="s">
        <v>152</v>
      </c>
      <c r="D81" s="106" t="s">
        <v>1566</v>
      </c>
      <c r="E81" s="701" t="e">
        <f>HLOOKUP($D$2,'2020 Data(H)'!$C$1:$CZ$428,13,FALSE)</f>
        <v>#N/A</v>
      </c>
      <c r="F81" s="303">
        <v>0</v>
      </c>
      <c r="G81" s="762"/>
      <c r="H81" s="17"/>
      <c r="I81" s="79"/>
      <c r="L81" s="736"/>
      <c r="Z81" s="107"/>
      <c r="AA81" s="107"/>
      <c r="AB81" s="107"/>
      <c r="AC81" s="107"/>
      <c r="AD81" s="107"/>
      <c r="AE81" s="107"/>
      <c r="AF81" s="107"/>
      <c r="AG81" s="107"/>
      <c r="AH81" s="107"/>
      <c r="AI81" s="107"/>
      <c r="AJ81" s="107"/>
      <c r="AK81" s="107"/>
      <c r="AL81" s="107"/>
      <c r="AM81" s="107"/>
      <c r="AN81" s="107"/>
      <c r="AO81" s="107"/>
      <c r="AP81" s="107"/>
      <c r="AQ81" s="107"/>
      <c r="AR81" s="107"/>
    </row>
    <row r="82" spans="1:44" ht="58.5" customHeight="1" thickBot="1" x14ac:dyDescent="0.35">
      <c r="A82" s="107">
        <v>20</v>
      </c>
      <c r="B82" s="625" t="s">
        <v>55</v>
      </c>
      <c r="C82" s="625" t="s">
        <v>152</v>
      </c>
      <c r="D82" s="106" t="s">
        <v>1567</v>
      </c>
      <c r="E82" s="701" t="e">
        <f>HLOOKUP($D$2,'2020 Data(H)'!$C$1:$CZ$428,15,FALSE)</f>
        <v>#N/A</v>
      </c>
      <c r="F82" s="303">
        <v>0</v>
      </c>
      <c r="G82" s="762">
        <f>IF(F82&lt;0,"Error: Enter as positive.",)</f>
        <v>0</v>
      </c>
      <c r="H82" s="17"/>
      <c r="I82" s="79"/>
      <c r="L82" s="736"/>
      <c r="Z82" s="107"/>
      <c r="AA82" s="107"/>
      <c r="AB82" s="107"/>
      <c r="AC82" s="107"/>
      <c r="AD82" s="107"/>
      <c r="AE82" s="107"/>
      <c r="AF82" s="107"/>
      <c r="AG82" s="107"/>
      <c r="AH82" s="107"/>
      <c r="AI82" s="107"/>
      <c r="AJ82" s="107"/>
      <c r="AK82" s="107"/>
      <c r="AL82" s="107"/>
      <c r="AM82" s="107"/>
      <c r="AN82" s="107"/>
      <c r="AO82" s="107"/>
      <c r="AP82" s="107"/>
      <c r="AQ82" s="107"/>
      <c r="AR82" s="107"/>
    </row>
    <row r="83" spans="1:44" ht="54" customHeight="1" thickBot="1" x14ac:dyDescent="0.35">
      <c r="A83" s="107">
        <v>533</v>
      </c>
      <c r="B83" s="625" t="s">
        <v>55</v>
      </c>
      <c r="C83" s="625" t="s">
        <v>152</v>
      </c>
      <c r="D83" s="725" t="s">
        <v>1568</v>
      </c>
      <c r="E83" s="701" t="e">
        <f>HLOOKUP($D$2,'2020 Data(H)'!$C$1:$CZ$428,183,FALSE)</f>
        <v>#N/A</v>
      </c>
      <c r="F83" s="303">
        <v>0</v>
      </c>
      <c r="G83" s="772"/>
      <c r="H83" s="17"/>
      <c r="I83" s="79"/>
      <c r="L83" s="736"/>
      <c r="Z83" s="107"/>
      <c r="AA83" s="107"/>
      <c r="AB83" s="107"/>
      <c r="AC83" s="107"/>
      <c r="AD83" s="107"/>
      <c r="AE83" s="107"/>
      <c r="AF83" s="107"/>
      <c r="AG83" s="107"/>
      <c r="AH83" s="107"/>
      <c r="AI83" s="107"/>
      <c r="AJ83" s="107"/>
      <c r="AK83" s="107"/>
      <c r="AL83" s="107"/>
      <c r="AM83" s="107"/>
      <c r="AN83" s="107"/>
      <c r="AO83" s="107"/>
      <c r="AP83" s="107"/>
      <c r="AQ83" s="107"/>
      <c r="AR83" s="107"/>
    </row>
    <row r="84" spans="1:44" s="18" customFormat="1" ht="62.25" customHeight="1" thickBot="1" x14ac:dyDescent="0.35">
      <c r="A84" s="107">
        <v>508</v>
      </c>
      <c r="B84" s="625" t="s">
        <v>55</v>
      </c>
      <c r="C84" s="625" t="s">
        <v>152</v>
      </c>
      <c r="D84" s="106" t="s">
        <v>535</v>
      </c>
      <c r="E84" s="701" t="e">
        <f>HLOOKUP($D$2,'2020 Data(H)'!$C$1:$CZ$428,158,FALSE)</f>
        <v>#N/A</v>
      </c>
      <c r="F84" s="303">
        <v>0</v>
      </c>
      <c r="G84" s="762"/>
      <c r="H84" s="763"/>
      <c r="I84" s="764"/>
      <c r="L84" s="736"/>
      <c r="N84" s="304"/>
      <c r="Z84" s="107"/>
      <c r="AA84" s="107"/>
      <c r="AB84" s="107"/>
      <c r="AC84" s="107"/>
      <c r="AD84" s="107"/>
      <c r="AE84" s="107"/>
      <c r="AF84" s="107"/>
      <c r="AG84" s="107"/>
      <c r="AH84" s="107"/>
      <c r="AI84" s="107"/>
      <c r="AJ84" s="107"/>
      <c r="AK84" s="107"/>
      <c r="AL84" s="107"/>
      <c r="AM84" s="107"/>
      <c r="AN84" s="107"/>
      <c r="AO84" s="107"/>
      <c r="AP84" s="107"/>
      <c r="AQ84" s="107"/>
      <c r="AR84" s="107"/>
    </row>
    <row r="85" spans="1:44" s="18" customFormat="1" ht="81.75" customHeight="1" thickBot="1" x14ac:dyDescent="0.35">
      <c r="A85" s="107">
        <v>509</v>
      </c>
      <c r="B85" s="625" t="s">
        <v>55</v>
      </c>
      <c r="C85" s="625" t="s">
        <v>152</v>
      </c>
      <c r="D85" s="106" t="s">
        <v>533</v>
      </c>
      <c r="E85" s="701" t="e">
        <f>HLOOKUP($D$2,'2020 Data(H)'!$C$1:$CZ$428,159,FALSE)</f>
        <v>#N/A</v>
      </c>
      <c r="F85" s="303">
        <v>0</v>
      </c>
      <c r="G85" s="762">
        <f>IF(F85&lt;0,"Error: Enter as positive.",)</f>
        <v>0</v>
      </c>
      <c r="H85" s="763"/>
      <c r="I85" s="764"/>
      <c r="L85" s="736"/>
      <c r="N85" s="304"/>
      <c r="Z85" s="107"/>
      <c r="AA85" s="107"/>
      <c r="AB85" s="107"/>
      <c r="AC85" s="107"/>
      <c r="AD85" s="107"/>
      <c r="AE85" s="107"/>
      <c r="AF85" s="107"/>
      <c r="AG85" s="107"/>
      <c r="AH85" s="107"/>
      <c r="AI85" s="107"/>
      <c r="AJ85" s="107"/>
      <c r="AK85" s="107"/>
      <c r="AL85" s="107"/>
      <c r="AM85" s="107"/>
      <c r="AN85" s="107"/>
      <c r="AO85" s="107"/>
      <c r="AP85" s="107"/>
      <c r="AQ85" s="107"/>
      <c r="AR85" s="107"/>
    </row>
    <row r="86" spans="1:44" ht="69" customHeight="1" thickBot="1" x14ac:dyDescent="0.35">
      <c r="A86" s="107">
        <v>22</v>
      </c>
      <c r="B86" s="625" t="s">
        <v>60</v>
      </c>
      <c r="C86" s="625" t="s">
        <v>152</v>
      </c>
      <c r="D86" s="106" t="s">
        <v>534</v>
      </c>
      <c r="E86" s="701" t="e">
        <f>HLOOKUP($D$2,'2020 Data(H)'!$C$1:$CZ$428,17,FALSE)</f>
        <v>#N/A</v>
      </c>
      <c r="F86" s="303">
        <v>0</v>
      </c>
      <c r="G86" s="772"/>
      <c r="H86" s="17"/>
      <c r="I86" s="79"/>
      <c r="J86" s="607"/>
      <c r="L86" s="736"/>
      <c r="Z86" s="107"/>
      <c r="AA86" s="107"/>
      <c r="AB86" s="107"/>
      <c r="AC86" s="107"/>
      <c r="AD86" s="107"/>
      <c r="AE86" s="107"/>
      <c r="AF86" s="107"/>
      <c r="AG86" s="107"/>
      <c r="AH86" s="107"/>
      <c r="AI86" s="107"/>
      <c r="AJ86" s="107"/>
      <c r="AK86" s="107"/>
      <c r="AL86" s="107"/>
      <c r="AM86" s="107"/>
      <c r="AN86" s="107"/>
      <c r="AO86" s="107"/>
      <c r="AP86" s="107"/>
      <c r="AQ86" s="107"/>
      <c r="AR86" s="107"/>
    </row>
    <row r="87" spans="1:44" ht="72" customHeight="1" thickBot="1" x14ac:dyDescent="0.35">
      <c r="A87" s="107">
        <v>23</v>
      </c>
      <c r="B87" s="625" t="s">
        <v>60</v>
      </c>
      <c r="C87" s="625" t="s">
        <v>152</v>
      </c>
      <c r="D87" s="740" t="s">
        <v>1569</v>
      </c>
      <c r="E87" s="701" t="e">
        <f>HLOOKUP($D$2,'2020 Data(H)'!$C$1:$CZ$428,18,FALSE)</f>
        <v>#N/A</v>
      </c>
      <c r="F87" s="303">
        <v>0</v>
      </c>
      <c r="G87" s="762">
        <f>IF(H87=0,,"Error: Total revenues less total expenditures do not equal total change in fund balance.  Account numbers 16-532+17-20+533+22+508-509-23=0  The amount of the formula is located in the cell to the right")</f>
        <v>0</v>
      </c>
      <c r="H87" s="765">
        <f>+F78-F80+F81-F82+F83+F86+F84-F85-F87</f>
        <v>0</v>
      </c>
      <c r="I87" s="79"/>
      <c r="J87" s="607"/>
      <c r="L87" s="736"/>
      <c r="Z87" s="107"/>
      <c r="AA87" s="107"/>
      <c r="AB87" s="107"/>
      <c r="AC87" s="107"/>
      <c r="AD87" s="107"/>
      <c r="AE87" s="107"/>
      <c r="AF87" s="107"/>
      <c r="AG87" s="107"/>
      <c r="AH87" s="107"/>
      <c r="AI87" s="107"/>
      <c r="AJ87" s="107"/>
      <c r="AK87" s="107"/>
      <c r="AL87" s="107"/>
      <c r="AM87" s="107"/>
      <c r="AN87" s="107"/>
      <c r="AO87" s="107"/>
      <c r="AP87" s="107"/>
      <c r="AQ87" s="107"/>
      <c r="AR87" s="107"/>
    </row>
    <row r="88" spans="1:44" ht="194.25" customHeight="1" thickBot="1" x14ac:dyDescent="0.35">
      <c r="A88" s="107">
        <v>590</v>
      </c>
      <c r="B88" s="625" t="s">
        <v>604</v>
      </c>
      <c r="C88" s="625"/>
      <c r="D88" s="740" t="s">
        <v>1856</v>
      </c>
      <c r="E88" s="940"/>
      <c r="F88" s="303"/>
      <c r="G88" s="303"/>
      <c r="H88" s="765"/>
      <c r="I88" s="79"/>
      <c r="K88" s="773"/>
      <c r="L88" s="736"/>
      <c r="Z88" s="107"/>
      <c r="AA88" s="107"/>
      <c r="AB88" s="107"/>
      <c r="AC88" s="107"/>
      <c r="AD88" s="107"/>
      <c r="AE88" s="107"/>
      <c r="AF88" s="107"/>
      <c r="AG88" s="107"/>
      <c r="AH88" s="107"/>
      <c r="AI88" s="107"/>
      <c r="AJ88" s="107"/>
      <c r="AK88" s="107"/>
      <c r="AL88" s="107"/>
      <c r="AM88" s="107"/>
      <c r="AN88" s="107"/>
      <c r="AO88" s="107"/>
      <c r="AP88" s="107"/>
      <c r="AQ88" s="107"/>
      <c r="AR88" s="107"/>
    </row>
    <row r="89" spans="1:44" ht="115.5" customHeight="1" thickBot="1" x14ac:dyDescent="0.35">
      <c r="A89" s="107">
        <v>507</v>
      </c>
      <c r="B89" s="625" t="s">
        <v>60</v>
      </c>
      <c r="C89" s="625" t="s">
        <v>152</v>
      </c>
      <c r="D89" s="740" t="s">
        <v>1570</v>
      </c>
      <c r="E89" s="701" t="e">
        <f>HLOOKUP($D$2,'2020 Data(H)'!$C$1:$CZ$428,157,FALSE)</f>
        <v>#N/A</v>
      </c>
      <c r="F89" s="303">
        <v>0</v>
      </c>
      <c r="G89" s="762" t="e">
        <f>IF(F72-F87-F89=E72,,"Error: Beginning Balance does not agree with our records.  (Acct# 9-23-507)= Prior Years Acct # 9 The amount of the formula is in the cell to the right")</f>
        <v>#N/A</v>
      </c>
      <c r="H89" s="765" t="e">
        <f>+F72-F87-F89-E72</f>
        <v>#N/A</v>
      </c>
      <c r="I89" s="1263" t="s">
        <v>1852</v>
      </c>
      <c r="L89" s="736"/>
      <c r="Z89" s="107"/>
      <c r="AA89" s="107"/>
      <c r="AB89" s="107"/>
      <c r="AC89" s="107"/>
      <c r="AD89" s="107"/>
      <c r="AE89" s="107"/>
      <c r="AF89" s="107"/>
      <c r="AG89" s="107"/>
      <c r="AH89" s="107"/>
      <c r="AI89" s="107"/>
      <c r="AJ89" s="107"/>
      <c r="AK89" s="107"/>
      <c r="AL89" s="107"/>
      <c r="AM89" s="107"/>
      <c r="AN89" s="107"/>
      <c r="AO89" s="107"/>
      <c r="AP89" s="107"/>
      <c r="AQ89" s="107"/>
      <c r="AR89" s="107"/>
    </row>
    <row r="90" spans="1:44" ht="169.5" hidden="1" customHeight="1" thickBot="1" x14ac:dyDescent="0.35">
      <c r="A90" s="107">
        <v>147</v>
      </c>
      <c r="B90" s="848" t="s">
        <v>1367</v>
      </c>
      <c r="C90" s="848" t="s">
        <v>1368</v>
      </c>
      <c r="D90" s="740" t="s">
        <v>1369</v>
      </c>
      <c r="E90" s="701" t="e">
        <f>HLOOKUP($D$2,'2020 Data(H)'!$C$1:$CZ$428,67,FALSE)</f>
        <v>#N/A</v>
      </c>
      <c r="F90" s="303">
        <v>0</v>
      </c>
      <c r="G90" s="762"/>
      <c r="H90" s="765"/>
      <c r="I90" s="79"/>
      <c r="L90" s="736"/>
      <c r="Z90" s="107"/>
      <c r="AA90" s="107"/>
      <c r="AB90" s="107"/>
      <c r="AC90" s="107"/>
      <c r="AD90" s="107"/>
      <c r="AE90" s="107"/>
      <c r="AF90" s="107"/>
      <c r="AG90" s="107"/>
      <c r="AH90" s="107"/>
      <c r="AI90" s="107"/>
      <c r="AJ90" s="107"/>
      <c r="AK90" s="107"/>
      <c r="AL90" s="107"/>
      <c r="AM90" s="107"/>
      <c r="AN90" s="107"/>
      <c r="AO90" s="107"/>
      <c r="AP90" s="107"/>
      <c r="AQ90" s="107"/>
      <c r="AR90" s="107"/>
    </row>
    <row r="91" spans="1:44" ht="115.5" hidden="1" customHeight="1" thickBot="1" x14ac:dyDescent="0.35">
      <c r="A91" s="107">
        <v>585</v>
      </c>
      <c r="B91" s="848" t="s">
        <v>1367</v>
      </c>
      <c r="C91" s="848" t="s">
        <v>1368</v>
      </c>
      <c r="D91" s="740" t="s">
        <v>1370</v>
      </c>
      <c r="E91" s="701" t="e">
        <f>HLOOKUP($D$2,'2020 Data(H)'!$C$1:$CZ$428,235,FALSE)</f>
        <v>#N/A</v>
      </c>
      <c r="F91" s="303">
        <v>0</v>
      </c>
      <c r="G91" s="762"/>
      <c r="H91" s="765"/>
      <c r="I91" s="79"/>
      <c r="L91" s="736"/>
      <c r="Z91" s="107"/>
      <c r="AA91" s="107"/>
      <c r="AB91" s="107"/>
      <c r="AC91" s="107"/>
      <c r="AD91" s="107"/>
      <c r="AE91" s="107"/>
      <c r="AF91" s="107"/>
      <c r="AG91" s="107"/>
      <c r="AH91" s="107"/>
      <c r="AI91" s="107"/>
      <c r="AJ91" s="107"/>
      <c r="AK91" s="107"/>
      <c r="AL91" s="107"/>
      <c r="AM91" s="107"/>
      <c r="AN91" s="107"/>
      <c r="AO91" s="107"/>
      <c r="AP91" s="107"/>
      <c r="AQ91" s="107"/>
      <c r="AR91" s="107"/>
    </row>
    <row r="92" spans="1:44" ht="115.5" hidden="1" customHeight="1" thickBot="1" x14ac:dyDescent="0.35">
      <c r="A92" s="107">
        <v>546</v>
      </c>
      <c r="B92" s="848" t="s">
        <v>1367</v>
      </c>
      <c r="C92" s="848" t="s">
        <v>1368</v>
      </c>
      <c r="D92" s="740" t="s">
        <v>1371</v>
      </c>
      <c r="E92" s="701" t="e">
        <f>HLOOKUP($D$2,'2020 Data(H)'!$C$1:$CZ$428,196,FALSE)</f>
        <v>#N/A</v>
      </c>
      <c r="F92" s="303">
        <v>0</v>
      </c>
      <c r="G92" s="762"/>
      <c r="H92" s="765"/>
      <c r="I92" s="79"/>
      <c r="L92" s="736"/>
      <c r="Z92" s="107"/>
      <c r="AA92" s="107"/>
      <c r="AB92" s="107"/>
      <c r="AC92" s="107"/>
      <c r="AD92" s="107"/>
      <c r="AE92" s="107"/>
      <c r="AF92" s="107"/>
      <c r="AG92" s="107"/>
      <c r="AH92" s="107"/>
      <c r="AI92" s="107"/>
      <c r="AJ92" s="107"/>
      <c r="AK92" s="107"/>
      <c r="AL92" s="107"/>
      <c r="AM92" s="107"/>
      <c r="AN92" s="107"/>
      <c r="AO92" s="107"/>
      <c r="AP92" s="107"/>
      <c r="AQ92" s="107"/>
      <c r="AR92" s="107"/>
    </row>
    <row r="93" spans="1:44" ht="115.5" hidden="1" customHeight="1" thickBot="1" x14ac:dyDescent="0.35">
      <c r="A93" s="107">
        <v>589</v>
      </c>
      <c r="B93" s="848" t="s">
        <v>1367</v>
      </c>
      <c r="C93" s="848" t="s">
        <v>1368</v>
      </c>
      <c r="D93" s="740" t="s">
        <v>1372</v>
      </c>
      <c r="E93" s="701" t="e">
        <f>HLOOKUP($D$2,'2020 Data(H)'!$C$1:$CZ$428,239,FALSE)</f>
        <v>#N/A</v>
      </c>
      <c r="F93" s="303">
        <v>0</v>
      </c>
      <c r="G93" s="762"/>
      <c r="H93" s="765"/>
      <c r="I93" s="79"/>
      <c r="L93" s="736"/>
      <c r="Z93" s="107"/>
      <c r="AA93" s="107"/>
      <c r="AB93" s="107"/>
      <c r="AC93" s="107"/>
      <c r="AD93" s="107"/>
      <c r="AE93" s="107"/>
      <c r="AF93" s="107"/>
      <c r="AG93" s="107"/>
      <c r="AH93" s="107"/>
      <c r="AI93" s="107"/>
      <c r="AJ93" s="107"/>
      <c r="AK93" s="107"/>
      <c r="AL93" s="107"/>
      <c r="AM93" s="107"/>
      <c r="AN93" s="107"/>
      <c r="AO93" s="107"/>
      <c r="AP93" s="107"/>
      <c r="AQ93" s="107"/>
      <c r="AR93" s="107"/>
    </row>
    <row r="94" spans="1:44" ht="143.25" hidden="1" customHeight="1" thickBot="1" x14ac:dyDescent="0.35">
      <c r="A94" s="591">
        <v>149</v>
      </c>
      <c r="B94" s="625" t="s">
        <v>1367</v>
      </c>
      <c r="C94" s="625" t="s">
        <v>1368</v>
      </c>
      <c r="D94" s="740" t="s">
        <v>1463</v>
      </c>
      <c r="E94" s="701" t="e">
        <f>HLOOKUP($D$2,'2020 Data(H)'!$C$1:$CZ$428,69,FALSE)</f>
        <v>#N/A</v>
      </c>
      <c r="F94" s="303">
        <v>0</v>
      </c>
      <c r="G94" s="762"/>
      <c r="H94" s="765"/>
      <c r="I94" s="79"/>
      <c r="L94" s="736"/>
      <c r="Z94" s="591"/>
      <c r="AA94" s="591"/>
      <c r="AB94" s="591"/>
      <c r="AC94" s="591"/>
      <c r="AD94" s="591"/>
      <c r="AE94" s="591"/>
      <c r="AF94" s="591"/>
      <c r="AG94" s="591"/>
      <c r="AH94" s="591"/>
      <c r="AI94" s="591"/>
      <c r="AJ94" s="591"/>
      <c r="AK94" s="591"/>
      <c r="AL94" s="591"/>
      <c r="AM94" s="591"/>
      <c r="AN94" s="591"/>
      <c r="AO94" s="591"/>
      <c r="AP94" s="591"/>
      <c r="AQ94" s="591"/>
      <c r="AR94" s="591"/>
    </row>
    <row r="95" spans="1:44" ht="115.5" hidden="1" customHeight="1" thickBot="1" x14ac:dyDescent="0.35">
      <c r="A95" s="107">
        <v>150</v>
      </c>
      <c r="B95" s="625" t="s">
        <v>1367</v>
      </c>
      <c r="C95" s="625" t="s">
        <v>1368</v>
      </c>
      <c r="D95" s="740" t="s">
        <v>1464</v>
      </c>
      <c r="E95" s="701" t="e">
        <f>HLOOKUP($D$2,'2020 Data(H)'!$C$1:$CZ$428,70,FALSE)</f>
        <v>#N/A</v>
      </c>
      <c r="F95" s="303">
        <v>0</v>
      </c>
      <c r="G95" s="762"/>
      <c r="H95" s="765"/>
      <c r="I95" s="79"/>
      <c r="L95" s="736"/>
      <c r="Z95" s="107"/>
      <c r="AA95" s="107"/>
      <c r="AB95" s="107"/>
      <c r="AC95" s="107"/>
      <c r="AD95" s="107"/>
      <c r="AE95" s="107"/>
      <c r="AF95" s="107"/>
      <c r="AG95" s="107"/>
      <c r="AH95" s="107"/>
      <c r="AI95" s="107"/>
      <c r="AJ95" s="107"/>
      <c r="AK95" s="107"/>
      <c r="AL95" s="107"/>
      <c r="AM95" s="107"/>
      <c r="AN95" s="107"/>
      <c r="AO95" s="107"/>
      <c r="AP95" s="107"/>
      <c r="AQ95" s="107"/>
      <c r="AR95" s="107"/>
    </row>
    <row r="96" spans="1:44" ht="115.5" hidden="1" customHeight="1" thickBot="1" x14ac:dyDescent="0.35">
      <c r="A96" s="107">
        <v>587</v>
      </c>
      <c r="B96" s="667" t="s">
        <v>1465</v>
      </c>
      <c r="C96" s="667" t="s">
        <v>1466</v>
      </c>
      <c r="D96" s="740" t="s">
        <v>1571</v>
      </c>
      <c r="E96" s="701" t="e">
        <f>HLOOKUP($D$2,'2020 Data(H)'!$C$1:$CZ$428,237,FALSE)</f>
        <v>#N/A</v>
      </c>
      <c r="F96" s="303">
        <v>0</v>
      </c>
      <c r="G96" s="762"/>
      <c r="H96" s="765"/>
      <c r="I96" s="79"/>
      <c r="L96" s="736"/>
      <c r="Z96" s="107"/>
      <c r="AA96" s="107"/>
      <c r="AB96" s="107"/>
      <c r="AC96" s="107"/>
      <c r="AD96" s="107"/>
      <c r="AE96" s="107"/>
      <c r="AF96" s="107"/>
      <c r="AG96" s="107"/>
      <c r="AH96" s="107"/>
      <c r="AI96" s="107"/>
      <c r="AJ96" s="107"/>
      <c r="AK96" s="107"/>
      <c r="AL96" s="107"/>
      <c r="AM96" s="107"/>
      <c r="AN96" s="107"/>
      <c r="AO96" s="107"/>
      <c r="AP96" s="107"/>
      <c r="AQ96" s="107"/>
      <c r="AR96" s="107"/>
    </row>
    <row r="97" spans="1:44" ht="115.5" hidden="1" customHeight="1" thickBot="1" x14ac:dyDescent="0.35">
      <c r="A97" s="107">
        <v>588</v>
      </c>
      <c r="B97" s="667" t="s">
        <v>1465</v>
      </c>
      <c r="C97" s="667" t="s">
        <v>1466</v>
      </c>
      <c r="D97" s="740" t="s">
        <v>1572</v>
      </c>
      <c r="E97" s="701" t="e">
        <f>HLOOKUP($D$2,'2020 Data(H)'!$C$1:$CZ$428,238,FALSE)</f>
        <v>#N/A</v>
      </c>
      <c r="F97" s="303">
        <v>0</v>
      </c>
      <c r="G97" s="762"/>
      <c r="H97" s="765"/>
      <c r="I97" s="79"/>
      <c r="L97" s="736"/>
      <c r="Z97" s="107"/>
      <c r="AA97" s="107"/>
      <c r="AB97" s="107"/>
      <c r="AC97" s="107"/>
      <c r="AD97" s="107"/>
      <c r="AE97" s="107"/>
      <c r="AF97" s="107"/>
      <c r="AG97" s="107"/>
      <c r="AH97" s="107"/>
      <c r="AI97" s="107"/>
      <c r="AJ97" s="107"/>
      <c r="AK97" s="107"/>
      <c r="AL97" s="107"/>
      <c r="AM97" s="107"/>
      <c r="AN97" s="107"/>
      <c r="AO97" s="107"/>
      <c r="AP97" s="107"/>
      <c r="AQ97" s="107"/>
      <c r="AR97" s="107"/>
    </row>
    <row r="98" spans="1:44" ht="82.5" customHeight="1" thickBot="1" x14ac:dyDescent="0.35">
      <c r="A98" s="316">
        <v>647</v>
      </c>
      <c r="B98" s="844" t="s">
        <v>725</v>
      </c>
      <c r="C98" s="843" t="s">
        <v>727</v>
      </c>
      <c r="D98" s="315" t="s">
        <v>728</v>
      </c>
      <c r="E98" s="701" t="e">
        <f>HLOOKUP($D$2,'2020 Data(H)'!$C$1:$CZ$428,306,FALSE)</f>
        <v>#N/A</v>
      </c>
      <c r="F98" s="303">
        <v>0</v>
      </c>
      <c r="G98" s="762">
        <f>IF(F98&lt;0,"Error: Enter as positive.",)</f>
        <v>0</v>
      </c>
      <c r="H98" s="774"/>
      <c r="I98" s="79"/>
      <c r="L98" s="736"/>
      <c r="Z98" s="316"/>
      <c r="AA98" s="316"/>
      <c r="AB98" s="316"/>
      <c r="AC98" s="316"/>
      <c r="AD98" s="316"/>
      <c r="AE98" s="316"/>
      <c r="AF98" s="316"/>
      <c r="AG98" s="316"/>
      <c r="AH98" s="316"/>
      <c r="AI98" s="316"/>
      <c r="AJ98" s="316"/>
      <c r="AK98" s="316"/>
      <c r="AL98" s="316"/>
      <c r="AM98" s="316"/>
      <c r="AN98" s="316"/>
      <c r="AO98" s="316"/>
      <c r="AP98" s="316"/>
      <c r="AQ98" s="316"/>
      <c r="AR98" s="316"/>
    </row>
    <row r="99" spans="1:44" ht="25.5" customHeight="1" thickBot="1" x14ac:dyDescent="0.35">
      <c r="A99" s="107"/>
      <c r="B99" s="874" t="s">
        <v>11</v>
      </c>
      <c r="C99" s="875"/>
      <c r="D99" s="876"/>
      <c r="E99" s="872"/>
      <c r="F99" s="877"/>
      <c r="G99" s="878"/>
      <c r="H99" s="17"/>
      <c r="I99" s="79"/>
      <c r="L99" s="736"/>
      <c r="Z99" s="107"/>
      <c r="AA99" s="107"/>
      <c r="AB99" s="107"/>
      <c r="AC99" s="107"/>
      <c r="AD99" s="107"/>
      <c r="AE99" s="107"/>
      <c r="AF99" s="107"/>
      <c r="AG99" s="107"/>
      <c r="AH99" s="107"/>
      <c r="AI99" s="107"/>
      <c r="AJ99" s="107"/>
      <c r="AK99" s="107"/>
      <c r="AL99" s="107"/>
      <c r="AM99" s="107"/>
      <c r="AN99" s="107"/>
      <c r="AO99" s="107"/>
      <c r="AP99" s="107"/>
      <c r="AQ99" s="107"/>
      <c r="AR99" s="107"/>
    </row>
    <row r="100" spans="1:44" ht="76.5" hidden="1" customHeight="1" thickBot="1" x14ac:dyDescent="0.35">
      <c r="A100" s="107">
        <v>148</v>
      </c>
      <c r="B100" s="625" t="s">
        <v>1375</v>
      </c>
      <c r="C100" s="667" t="s">
        <v>1373</v>
      </c>
      <c r="D100" s="667" t="s">
        <v>1374</v>
      </c>
      <c r="E100" s="701" t="e">
        <f>HLOOKUP($D$2,'2020 Data(H)'!$C$1:$CZ$428,68,FALSE)</f>
        <v>#N/A</v>
      </c>
      <c r="F100" s="303">
        <v>0</v>
      </c>
      <c r="G100" s="775"/>
      <c r="H100" s="17"/>
      <c r="I100" s="79"/>
      <c r="L100" s="736"/>
      <c r="Z100" s="107"/>
      <c r="AA100" s="107"/>
      <c r="AB100" s="107"/>
      <c r="AC100" s="107"/>
      <c r="AD100" s="107"/>
      <c r="AE100" s="107"/>
      <c r="AF100" s="107"/>
      <c r="AG100" s="107"/>
      <c r="AH100" s="107"/>
      <c r="AI100" s="107"/>
      <c r="AJ100" s="107"/>
      <c r="AK100" s="107"/>
      <c r="AL100" s="107"/>
      <c r="AM100" s="107"/>
      <c r="AN100" s="107"/>
      <c r="AO100" s="107"/>
      <c r="AP100" s="107"/>
      <c r="AQ100" s="107"/>
      <c r="AR100" s="107"/>
    </row>
    <row r="101" spans="1:44" ht="78" customHeight="1" thickBot="1" x14ac:dyDescent="0.35">
      <c r="A101" s="107">
        <v>171</v>
      </c>
      <c r="B101" s="625" t="s">
        <v>538</v>
      </c>
      <c r="C101" s="625" t="s">
        <v>537</v>
      </c>
      <c r="D101" s="702" t="s">
        <v>1573</v>
      </c>
      <c r="E101" s="701" t="e">
        <f>HLOOKUP($D$2,'2020 Data(H)'!$C$1:$CZ$428,71,FALSE)</f>
        <v>#N/A</v>
      </c>
      <c r="F101" s="273">
        <v>0</v>
      </c>
      <c r="G101" s="762">
        <f>IF(F101&lt;0,"Error: Enter as positive.",)</f>
        <v>0</v>
      </c>
      <c r="H101" s="17"/>
      <c r="I101" s="79"/>
      <c r="J101" s="607"/>
      <c r="L101" s="736"/>
      <c r="Z101" s="107"/>
      <c r="AA101" s="107"/>
      <c r="AB101" s="107"/>
      <c r="AC101" s="107"/>
      <c r="AD101" s="107"/>
      <c r="AE101" s="107"/>
      <c r="AF101" s="107"/>
      <c r="AG101" s="107"/>
      <c r="AH101" s="107"/>
      <c r="AI101" s="107"/>
      <c r="AJ101" s="107"/>
      <c r="AK101" s="107"/>
      <c r="AL101" s="107"/>
      <c r="AM101" s="107"/>
      <c r="AN101" s="107"/>
      <c r="AO101" s="107"/>
      <c r="AP101" s="107"/>
      <c r="AQ101" s="107"/>
      <c r="AR101" s="107"/>
    </row>
    <row r="102" spans="1:44" ht="30.75" hidden="1" customHeight="1" thickBot="1" x14ac:dyDescent="0.35">
      <c r="A102" s="107"/>
      <c r="B102" s="873" t="s">
        <v>1453</v>
      </c>
      <c r="C102" s="872"/>
      <c r="D102" s="872"/>
      <c r="E102" s="872"/>
      <c r="F102" s="872"/>
      <c r="G102" s="872"/>
      <c r="H102" s="17"/>
      <c r="I102" s="79"/>
      <c r="J102" s="607"/>
      <c r="L102" s="736"/>
      <c r="Z102" s="107"/>
      <c r="AA102" s="107"/>
      <c r="AB102" s="107"/>
      <c r="AC102" s="107"/>
      <c r="AD102" s="107"/>
      <c r="AE102" s="107"/>
      <c r="AF102" s="107"/>
      <c r="AG102" s="107"/>
      <c r="AH102" s="107"/>
      <c r="AI102" s="107"/>
      <c r="AJ102" s="107"/>
      <c r="AK102" s="107"/>
      <c r="AL102" s="107"/>
      <c r="AM102" s="107"/>
      <c r="AN102" s="107"/>
      <c r="AO102" s="107"/>
      <c r="AP102" s="107"/>
      <c r="AQ102" s="107"/>
      <c r="AR102" s="107"/>
    </row>
    <row r="103" spans="1:44" ht="48.75" hidden="1" customHeight="1" thickBot="1" x14ac:dyDescent="0.35">
      <c r="A103" s="107">
        <v>36</v>
      </c>
      <c r="B103" s="849" t="s">
        <v>725</v>
      </c>
      <c r="C103" s="343" t="s">
        <v>1469</v>
      </c>
      <c r="D103" s="700" t="s">
        <v>1492</v>
      </c>
      <c r="E103" s="701" t="e">
        <f>HLOOKUP($D$2,'2020 Data(H)'!$C$1:$CZ$428,24,FALSE)</f>
        <v>#N/A</v>
      </c>
      <c r="F103" s="303">
        <v>0</v>
      </c>
      <c r="G103" s="850"/>
      <c r="H103" s="17"/>
      <c r="I103" s="79"/>
      <c r="J103" s="607"/>
      <c r="L103" s="736"/>
      <c r="Z103" s="107"/>
      <c r="AA103" s="107"/>
      <c r="AB103" s="107"/>
      <c r="AC103" s="107"/>
      <c r="AD103" s="107"/>
      <c r="AE103" s="107"/>
      <c r="AF103" s="107"/>
      <c r="AG103" s="107"/>
      <c r="AH103" s="107"/>
      <c r="AI103" s="107"/>
      <c r="AJ103" s="107"/>
      <c r="AK103" s="107"/>
      <c r="AL103" s="107"/>
      <c r="AM103" s="107"/>
      <c r="AN103" s="107"/>
      <c r="AO103" s="107"/>
      <c r="AP103" s="107"/>
      <c r="AQ103" s="107"/>
      <c r="AR103" s="107"/>
    </row>
    <row r="104" spans="1:44" ht="56.25" hidden="1" customHeight="1" thickBot="1" x14ac:dyDescent="0.35">
      <c r="A104" s="107">
        <v>534</v>
      </c>
      <c r="B104" s="849" t="s">
        <v>725</v>
      </c>
      <c r="C104" s="343" t="s">
        <v>1469</v>
      </c>
      <c r="D104" s="740" t="s">
        <v>1493</v>
      </c>
      <c r="E104" s="701" t="e">
        <f>HLOOKUP($D$2,'2020 Data(H)'!$C$1:$CZ$428,184,FALSE)</f>
        <v>#N/A</v>
      </c>
      <c r="F104" s="303">
        <v>0</v>
      </c>
      <c r="G104" s="850"/>
      <c r="H104" s="17"/>
      <c r="I104" s="79"/>
      <c r="J104" s="607"/>
      <c r="L104" s="736"/>
      <c r="Z104" s="107"/>
      <c r="AA104" s="107"/>
      <c r="AB104" s="107"/>
      <c r="AC104" s="107"/>
      <c r="AD104" s="107"/>
      <c r="AE104" s="107"/>
      <c r="AF104" s="107"/>
      <c r="AG104" s="107"/>
      <c r="AH104" s="107"/>
      <c r="AI104" s="107"/>
      <c r="AJ104" s="107"/>
      <c r="AK104" s="107"/>
      <c r="AL104" s="107"/>
      <c r="AM104" s="107"/>
      <c r="AN104" s="107"/>
      <c r="AO104" s="107"/>
      <c r="AP104" s="107"/>
      <c r="AQ104" s="107"/>
      <c r="AR104" s="107"/>
    </row>
    <row r="105" spans="1:44" ht="78" hidden="1" customHeight="1" thickBot="1" x14ac:dyDescent="0.35">
      <c r="A105" s="851">
        <v>13</v>
      </c>
      <c r="B105" s="849" t="s">
        <v>604</v>
      </c>
      <c r="C105" s="852" t="s">
        <v>1454</v>
      </c>
      <c r="D105" s="852" t="s">
        <v>1659</v>
      </c>
      <c r="E105" s="701" t="e">
        <f>HLOOKUP($D$2,'2020 Data(H)'!$C$1:$CZ$428,10,FALSE)</f>
        <v>#N/A</v>
      </c>
      <c r="F105" s="303">
        <v>0</v>
      </c>
      <c r="G105" s="762"/>
      <c r="H105" s="17"/>
      <c r="I105" s="79"/>
      <c r="J105" s="607"/>
      <c r="L105" s="736"/>
      <c r="Z105" s="851"/>
      <c r="AA105" s="851"/>
      <c r="AB105" s="851"/>
      <c r="AC105" s="851"/>
      <c r="AD105" s="851"/>
      <c r="AE105" s="851"/>
      <c r="AF105" s="851"/>
      <c r="AG105" s="851"/>
      <c r="AH105" s="851"/>
      <c r="AI105" s="851"/>
      <c r="AJ105" s="851"/>
      <c r="AK105" s="851"/>
      <c r="AL105" s="851"/>
      <c r="AM105" s="851"/>
      <c r="AN105" s="851"/>
      <c r="AO105" s="851"/>
      <c r="AP105" s="851"/>
      <c r="AQ105" s="851"/>
      <c r="AR105" s="851"/>
    </row>
    <row r="106" spans="1:44" ht="191.25" hidden="1" customHeight="1" thickBot="1" x14ac:dyDescent="0.35">
      <c r="A106" s="851">
        <v>14</v>
      </c>
      <c r="B106" s="849" t="s">
        <v>604</v>
      </c>
      <c r="C106" s="852" t="s">
        <v>1454</v>
      </c>
      <c r="D106" s="852" t="s">
        <v>1456</v>
      </c>
      <c r="E106" s="701" t="e">
        <f>HLOOKUP($D$2,'2020 Data(H)'!$C$1:$CZ$428,11,FALSE)</f>
        <v>#N/A</v>
      </c>
      <c r="F106" s="303">
        <v>0</v>
      </c>
      <c r="G106" s="762"/>
      <c r="H106" s="17"/>
      <c r="I106" s="79"/>
      <c r="J106" s="607"/>
      <c r="L106" s="736"/>
      <c r="Z106" s="851"/>
      <c r="AA106" s="851"/>
      <c r="AB106" s="851"/>
      <c r="AC106" s="851"/>
      <c r="AD106" s="851"/>
      <c r="AE106" s="851"/>
      <c r="AF106" s="851"/>
      <c r="AG106" s="851"/>
      <c r="AH106" s="851"/>
      <c r="AI106" s="851"/>
      <c r="AJ106" s="851"/>
      <c r="AK106" s="851"/>
      <c r="AL106" s="851"/>
      <c r="AM106" s="851"/>
      <c r="AN106" s="851"/>
      <c r="AO106" s="851"/>
      <c r="AP106" s="851"/>
      <c r="AQ106" s="851"/>
      <c r="AR106" s="851"/>
    </row>
    <row r="107" spans="1:44" ht="129.75" hidden="1" customHeight="1" thickBot="1" x14ac:dyDescent="0.35">
      <c r="A107" s="851">
        <v>571</v>
      </c>
      <c r="B107" s="849" t="s">
        <v>604</v>
      </c>
      <c r="C107" s="853" t="s">
        <v>1494</v>
      </c>
      <c r="D107" s="853" t="s">
        <v>1495</v>
      </c>
      <c r="E107" s="701" t="e">
        <f>HLOOKUP($D$2,'2020 Data(H)'!$C$1:$CZ$428,221,FALSE)</f>
        <v>#N/A</v>
      </c>
      <c r="F107" s="303">
        <v>0</v>
      </c>
      <c r="G107" s="762"/>
      <c r="H107" s="17"/>
      <c r="I107" s="79"/>
      <c r="J107" s="607"/>
      <c r="L107" s="736"/>
      <c r="Z107" s="851"/>
      <c r="AA107" s="851"/>
      <c r="AB107" s="851"/>
      <c r="AC107" s="851"/>
      <c r="AD107" s="851"/>
      <c r="AE107" s="851"/>
      <c r="AF107" s="851"/>
      <c r="AG107" s="851"/>
      <c r="AH107" s="851"/>
      <c r="AI107" s="851"/>
      <c r="AJ107" s="851"/>
      <c r="AK107" s="851"/>
      <c r="AL107" s="851"/>
      <c r="AM107" s="851"/>
      <c r="AN107" s="851"/>
      <c r="AO107" s="851"/>
      <c r="AP107" s="851"/>
      <c r="AQ107" s="851"/>
      <c r="AR107" s="851"/>
    </row>
    <row r="108" spans="1:44" ht="128.25" hidden="1" customHeight="1" thickBot="1" x14ac:dyDescent="0.35">
      <c r="A108" s="851">
        <v>572</v>
      </c>
      <c r="B108" s="849" t="s">
        <v>59</v>
      </c>
      <c r="C108" s="853" t="s">
        <v>1494</v>
      </c>
      <c r="D108" s="853" t="s">
        <v>1496</v>
      </c>
      <c r="E108" s="701" t="e">
        <f>HLOOKUP($D$2,'2020 Data(H)'!$C$1:$CZ$428,222,FALSE)</f>
        <v>#N/A</v>
      </c>
      <c r="F108" s="303">
        <v>0</v>
      </c>
      <c r="G108" s="762"/>
      <c r="H108" s="17"/>
      <c r="I108" s="79"/>
      <c r="J108" s="607"/>
      <c r="L108" s="736"/>
      <c r="Z108" s="851"/>
      <c r="AA108" s="851"/>
      <c r="AB108" s="851"/>
      <c r="AC108" s="851"/>
      <c r="AD108" s="851"/>
      <c r="AE108" s="851"/>
      <c r="AF108" s="851"/>
      <c r="AG108" s="851"/>
      <c r="AH108" s="851"/>
      <c r="AI108" s="851"/>
      <c r="AJ108" s="851"/>
      <c r="AK108" s="851"/>
      <c r="AL108" s="851"/>
      <c r="AM108" s="851"/>
      <c r="AN108" s="851"/>
      <c r="AO108" s="851"/>
      <c r="AP108" s="851"/>
      <c r="AQ108" s="851"/>
      <c r="AR108" s="851"/>
    </row>
    <row r="109" spans="1:44" ht="120.75" hidden="1" customHeight="1" thickBot="1" x14ac:dyDescent="0.35">
      <c r="A109" s="851">
        <v>573</v>
      </c>
      <c r="B109" s="849" t="s">
        <v>604</v>
      </c>
      <c r="C109" s="853" t="s">
        <v>1494</v>
      </c>
      <c r="D109" s="853" t="s">
        <v>1654</v>
      </c>
      <c r="E109" s="701" t="e">
        <f>HLOOKUP($D$2,'2020 Data(H)'!$C$1:$CZ$428,223,FALSE)</f>
        <v>#N/A</v>
      </c>
      <c r="F109" s="303">
        <v>0</v>
      </c>
      <c r="G109" s="762"/>
      <c r="H109" s="17"/>
      <c r="I109" s="79"/>
      <c r="J109" s="607"/>
      <c r="L109" s="736"/>
      <c r="Z109" s="851"/>
      <c r="AA109" s="851"/>
      <c r="AB109" s="851"/>
      <c r="AC109" s="851"/>
      <c r="AD109" s="851"/>
      <c r="AE109" s="851"/>
      <c r="AF109" s="851"/>
      <c r="AG109" s="851"/>
      <c r="AH109" s="851"/>
      <c r="AI109" s="851"/>
      <c r="AJ109" s="851"/>
      <c r="AK109" s="851"/>
      <c r="AL109" s="851"/>
      <c r="AM109" s="851"/>
      <c r="AN109" s="851"/>
      <c r="AO109" s="851"/>
      <c r="AP109" s="851"/>
      <c r="AQ109" s="851"/>
      <c r="AR109" s="851"/>
    </row>
    <row r="110" spans="1:44" ht="99.75" hidden="1" customHeight="1" thickBot="1" x14ac:dyDescent="0.35">
      <c r="A110" s="851">
        <v>34</v>
      </c>
      <c r="B110" s="849" t="s">
        <v>604</v>
      </c>
      <c r="C110" s="4" t="s">
        <v>1469</v>
      </c>
      <c r="D110" s="691" t="s">
        <v>1649</v>
      </c>
      <c r="E110" s="701" t="e">
        <f>HLOOKUP($D$2,'2020 Data(H)'!$C$1:$CZ$428,22,FALSE)</f>
        <v>#N/A</v>
      </c>
      <c r="F110" s="303">
        <v>0</v>
      </c>
      <c r="G110" s="762"/>
      <c r="H110" s="17"/>
      <c r="I110" s="79"/>
      <c r="J110" s="607"/>
      <c r="L110" s="736"/>
      <c r="Z110" s="851"/>
      <c r="AA110" s="851"/>
      <c r="AB110" s="851"/>
      <c r="AC110" s="851"/>
      <c r="AD110" s="851"/>
      <c r="AE110" s="851"/>
      <c r="AF110" s="851"/>
      <c r="AG110" s="851"/>
      <c r="AH110" s="851"/>
      <c r="AI110" s="851"/>
      <c r="AJ110" s="851"/>
      <c r="AK110" s="851"/>
      <c r="AL110" s="851"/>
      <c r="AM110" s="851"/>
      <c r="AN110" s="851"/>
      <c r="AO110" s="851"/>
      <c r="AP110" s="851"/>
      <c r="AQ110" s="851"/>
      <c r="AR110" s="851"/>
    </row>
    <row r="111" spans="1:44" ht="117" hidden="1" customHeight="1" thickBot="1" x14ac:dyDescent="0.35">
      <c r="A111" s="851">
        <v>35</v>
      </c>
      <c r="B111" s="849" t="s">
        <v>604</v>
      </c>
      <c r="C111" s="4" t="s">
        <v>1469</v>
      </c>
      <c r="D111" s="691" t="s">
        <v>1661</v>
      </c>
      <c r="E111" s="701" t="e">
        <f>HLOOKUP($D$2,'2020 Data(H)'!$C$1:$CZ$428,23,FALSE)</f>
        <v>#N/A</v>
      </c>
      <c r="F111" s="303">
        <v>0</v>
      </c>
      <c r="G111" s="762"/>
      <c r="H111" s="17"/>
      <c r="I111" s="79"/>
      <c r="J111" s="607"/>
      <c r="L111" s="736"/>
      <c r="Z111" s="851"/>
      <c r="AA111" s="851"/>
      <c r="AB111" s="851"/>
      <c r="AC111" s="851"/>
      <c r="AD111" s="851"/>
      <c r="AE111" s="851"/>
      <c r="AF111" s="851"/>
      <c r="AG111" s="851"/>
      <c r="AH111" s="851"/>
      <c r="AI111" s="851"/>
      <c r="AJ111" s="851"/>
      <c r="AK111" s="851"/>
      <c r="AL111" s="851"/>
      <c r="AM111" s="851"/>
      <c r="AN111" s="851"/>
      <c r="AO111" s="851"/>
      <c r="AP111" s="851"/>
      <c r="AQ111" s="851"/>
      <c r="AR111" s="851"/>
    </row>
    <row r="112" spans="1:44" ht="108.75" hidden="1" customHeight="1" thickBot="1" x14ac:dyDescent="0.35">
      <c r="A112" s="851">
        <v>37</v>
      </c>
      <c r="B112" s="849" t="s">
        <v>604</v>
      </c>
      <c r="C112" s="4" t="s">
        <v>1469</v>
      </c>
      <c r="D112" s="691" t="s">
        <v>1574</v>
      </c>
      <c r="E112" s="701" t="e">
        <f>HLOOKUP($D$2,'2020 Data(H)'!$C$1:$CZ$428,25,FALSE)</f>
        <v>#N/A</v>
      </c>
      <c r="F112" s="303">
        <v>0</v>
      </c>
      <c r="G112" s="762"/>
      <c r="H112" s="17"/>
      <c r="I112" s="79"/>
      <c r="J112" s="607"/>
      <c r="L112" s="736"/>
      <c r="Z112" s="851"/>
      <c r="AA112" s="851"/>
      <c r="AB112" s="851"/>
      <c r="AC112" s="851"/>
      <c r="AD112" s="851"/>
      <c r="AE112" s="851"/>
      <c r="AF112" s="851"/>
      <c r="AG112" s="851"/>
      <c r="AH112" s="851"/>
      <c r="AI112" s="851"/>
      <c r="AJ112" s="851"/>
      <c r="AK112" s="851"/>
      <c r="AL112" s="851"/>
      <c r="AM112" s="851"/>
      <c r="AN112" s="851"/>
      <c r="AO112" s="851"/>
      <c r="AP112" s="851"/>
      <c r="AQ112" s="851"/>
      <c r="AR112" s="851"/>
    </row>
    <row r="113" spans="1:44" ht="102.75" hidden="1" customHeight="1" thickBot="1" x14ac:dyDescent="0.35">
      <c r="A113" s="851">
        <v>38</v>
      </c>
      <c r="B113" s="849" t="s">
        <v>604</v>
      </c>
      <c r="C113" s="4" t="s">
        <v>1469</v>
      </c>
      <c r="D113" s="691" t="s">
        <v>1472</v>
      </c>
      <c r="E113" s="701" t="e">
        <f>HLOOKUP($D$2,'2020 Data(H)'!$C$1:$CZ$428,26,FALSE)</f>
        <v>#N/A</v>
      </c>
      <c r="F113" s="303">
        <v>0</v>
      </c>
      <c r="G113" s="762"/>
      <c r="H113" s="17"/>
      <c r="I113" s="79"/>
      <c r="J113" s="607"/>
      <c r="L113" s="736"/>
      <c r="Z113" s="851"/>
      <c r="AA113" s="851"/>
      <c r="AB113" s="851"/>
      <c r="AC113" s="851"/>
      <c r="AD113" s="851"/>
      <c r="AE113" s="851"/>
      <c r="AF113" s="851"/>
      <c r="AG113" s="851"/>
      <c r="AH113" s="851"/>
      <c r="AI113" s="851"/>
      <c r="AJ113" s="851"/>
      <c r="AK113" s="851"/>
      <c r="AL113" s="851"/>
      <c r="AM113" s="851"/>
      <c r="AN113" s="851"/>
      <c r="AO113" s="851"/>
      <c r="AP113" s="851"/>
      <c r="AQ113" s="851"/>
      <c r="AR113" s="851"/>
    </row>
    <row r="114" spans="1:44" ht="117.75" hidden="1" customHeight="1" thickBot="1" x14ac:dyDescent="0.35">
      <c r="A114" s="851">
        <v>32</v>
      </c>
      <c r="B114" s="849" t="s">
        <v>725</v>
      </c>
      <c r="C114" s="852" t="s">
        <v>1457</v>
      </c>
      <c r="D114" s="852" t="s">
        <v>1458</v>
      </c>
      <c r="E114" s="701" t="e">
        <f>HLOOKUP($D$2,'2020 Data(H)'!$C$1:$CZ$428,20,FALSE)</f>
        <v>#N/A</v>
      </c>
      <c r="F114" s="303">
        <v>0</v>
      </c>
      <c r="G114" s="762"/>
      <c r="H114" s="17"/>
      <c r="I114" s="79"/>
      <c r="J114" s="607"/>
      <c r="L114" s="736"/>
      <c r="Z114" s="851"/>
      <c r="AA114" s="851"/>
      <c r="AB114" s="851"/>
      <c r="AC114" s="851"/>
      <c r="AD114" s="851"/>
      <c r="AE114" s="851"/>
      <c r="AF114" s="851"/>
      <c r="AG114" s="851"/>
      <c r="AH114" s="851"/>
      <c r="AI114" s="851"/>
      <c r="AJ114" s="851"/>
      <c r="AK114" s="851"/>
      <c r="AL114" s="851"/>
      <c r="AM114" s="851"/>
      <c r="AN114" s="851"/>
      <c r="AO114" s="851"/>
      <c r="AP114" s="851"/>
      <c r="AQ114" s="851"/>
      <c r="AR114" s="851"/>
    </row>
    <row r="115" spans="1:44" ht="116.25" hidden="1" customHeight="1" thickBot="1" x14ac:dyDescent="0.35">
      <c r="A115" s="851">
        <v>40</v>
      </c>
      <c r="B115" s="849" t="s">
        <v>604</v>
      </c>
      <c r="C115" s="852" t="s">
        <v>1473</v>
      </c>
      <c r="D115" s="691" t="s">
        <v>1474</v>
      </c>
      <c r="E115" s="701" t="e">
        <f>HLOOKUP($D$2,'2020 Data(H)'!$C$1:$CZ$428,28,FALSE)</f>
        <v>#N/A</v>
      </c>
      <c r="F115" s="303">
        <v>0</v>
      </c>
      <c r="G115" s="762"/>
      <c r="H115" s="17"/>
      <c r="I115" s="79"/>
      <c r="J115" s="607"/>
      <c r="L115" s="736"/>
      <c r="Z115" s="851"/>
      <c r="AA115" s="851"/>
      <c r="AB115" s="851"/>
      <c r="AC115" s="851"/>
      <c r="AD115" s="851"/>
      <c r="AE115" s="851"/>
      <c r="AF115" s="851"/>
      <c r="AG115" s="851"/>
      <c r="AH115" s="851"/>
      <c r="AI115" s="851"/>
      <c r="AJ115" s="851"/>
      <c r="AK115" s="851"/>
      <c r="AL115" s="851"/>
      <c r="AM115" s="851"/>
      <c r="AN115" s="851"/>
      <c r="AO115" s="851"/>
      <c r="AP115" s="851"/>
      <c r="AQ115" s="851"/>
      <c r="AR115" s="851"/>
    </row>
    <row r="116" spans="1:44" ht="104.25" hidden="1" customHeight="1" thickBot="1" x14ac:dyDescent="0.35">
      <c r="A116" s="851">
        <v>107</v>
      </c>
      <c r="B116" s="849" t="s">
        <v>604</v>
      </c>
      <c r="C116" s="852" t="s">
        <v>1473</v>
      </c>
      <c r="D116" s="691" t="s">
        <v>1475</v>
      </c>
      <c r="E116" s="701" t="e">
        <f>HLOOKUP($D$2,'2020 Data(H)'!$C$1:$CZ$428,65,FALSE)</f>
        <v>#N/A</v>
      </c>
      <c r="F116" s="303">
        <v>0</v>
      </c>
      <c r="G116" s="762"/>
      <c r="H116" s="17"/>
      <c r="I116" s="79"/>
      <c r="J116" s="607"/>
      <c r="L116" s="736"/>
      <c r="Z116" s="851"/>
      <c r="AA116" s="851"/>
      <c r="AB116" s="851"/>
      <c r="AC116" s="851"/>
      <c r="AD116" s="851"/>
      <c r="AE116" s="851"/>
      <c r="AF116" s="851"/>
      <c r="AG116" s="851"/>
      <c r="AH116" s="851"/>
      <c r="AI116" s="851"/>
      <c r="AJ116" s="851"/>
      <c r="AK116" s="851"/>
      <c r="AL116" s="851"/>
      <c r="AM116" s="851"/>
      <c r="AN116" s="851"/>
      <c r="AO116" s="851"/>
      <c r="AP116" s="851"/>
      <c r="AQ116" s="851"/>
      <c r="AR116" s="851"/>
    </row>
    <row r="117" spans="1:44" ht="107.25" hidden="1" customHeight="1" thickBot="1" x14ac:dyDescent="0.35">
      <c r="A117" s="851">
        <v>108</v>
      </c>
      <c r="B117" s="849" t="s">
        <v>604</v>
      </c>
      <c r="C117" s="852" t="s">
        <v>1473</v>
      </c>
      <c r="D117" s="691" t="s">
        <v>1575</v>
      </c>
      <c r="E117" s="701" t="e">
        <f>HLOOKUP($D$2,'2020 Data(H)'!$C$1:$CZ$428,66,FALSE)</f>
        <v>#N/A</v>
      </c>
      <c r="F117" s="303">
        <v>0</v>
      </c>
      <c r="G117" s="762"/>
      <c r="H117" s="17"/>
      <c r="I117" s="79"/>
      <c r="J117" s="607"/>
      <c r="L117" s="736"/>
      <c r="Z117" s="851"/>
      <c r="AA117" s="851"/>
      <c r="AB117" s="851"/>
      <c r="AC117" s="851"/>
      <c r="AD117" s="851"/>
      <c r="AE117" s="851"/>
      <c r="AF117" s="851"/>
      <c r="AG117" s="851"/>
      <c r="AH117" s="851"/>
      <c r="AI117" s="851"/>
      <c r="AJ117" s="851"/>
      <c r="AK117" s="851"/>
      <c r="AL117" s="851"/>
      <c r="AM117" s="851"/>
      <c r="AN117" s="851"/>
      <c r="AO117" s="851"/>
      <c r="AP117" s="851"/>
      <c r="AQ117" s="851"/>
      <c r="AR117" s="851"/>
    </row>
    <row r="118" spans="1:44" ht="93" hidden="1" customHeight="1" thickBot="1" x14ac:dyDescent="0.35">
      <c r="A118" s="851">
        <v>41</v>
      </c>
      <c r="B118" s="849" t="s">
        <v>604</v>
      </c>
      <c r="C118" s="852" t="s">
        <v>1473</v>
      </c>
      <c r="D118" s="691" t="s">
        <v>1576</v>
      </c>
      <c r="E118" s="701" t="e">
        <f>HLOOKUP($D$2,'2020 Data(H)'!$C$1:$CZ$428,29,FALSE)</f>
        <v>#N/A</v>
      </c>
      <c r="F118" s="303">
        <v>0</v>
      </c>
      <c r="G118" s="762"/>
      <c r="H118" s="17"/>
      <c r="I118" s="79"/>
      <c r="J118" s="607"/>
      <c r="L118" s="736"/>
      <c r="Z118" s="851"/>
      <c r="AA118" s="851"/>
      <c r="AB118" s="851"/>
      <c r="AC118" s="851"/>
      <c r="AD118" s="851"/>
      <c r="AE118" s="851"/>
      <c r="AF118" s="851"/>
      <c r="AG118" s="851"/>
      <c r="AH118" s="851"/>
      <c r="AI118" s="851"/>
      <c r="AJ118" s="851"/>
      <c r="AK118" s="851"/>
      <c r="AL118" s="851"/>
      <c r="AM118" s="851"/>
      <c r="AN118" s="851"/>
      <c r="AO118" s="851"/>
      <c r="AP118" s="851"/>
      <c r="AQ118" s="851"/>
      <c r="AR118" s="851"/>
    </row>
    <row r="119" spans="1:44" ht="120.75" hidden="1" customHeight="1" thickBot="1" x14ac:dyDescent="0.35">
      <c r="A119" s="851">
        <v>194</v>
      </c>
      <c r="B119" s="849" t="s">
        <v>604</v>
      </c>
      <c r="C119" s="852" t="s">
        <v>1473</v>
      </c>
      <c r="D119" s="691" t="s">
        <v>1476</v>
      </c>
      <c r="E119" s="701" t="e">
        <f>HLOOKUP($D$2,'2020 Data(H)'!$C$1:$CZ$428,75,FALSE)</f>
        <v>#N/A</v>
      </c>
      <c r="F119" s="303">
        <v>0</v>
      </c>
      <c r="G119" s="762"/>
      <c r="H119" s="17"/>
      <c r="I119" s="79"/>
      <c r="J119" s="607"/>
      <c r="L119" s="736"/>
      <c r="Z119" s="851"/>
      <c r="AA119" s="851"/>
      <c r="AB119" s="851"/>
      <c r="AC119" s="851"/>
      <c r="AD119" s="851"/>
      <c r="AE119" s="851"/>
      <c r="AF119" s="851"/>
      <c r="AG119" s="851"/>
      <c r="AH119" s="851"/>
      <c r="AI119" s="851"/>
      <c r="AJ119" s="851"/>
      <c r="AK119" s="851"/>
      <c r="AL119" s="851"/>
      <c r="AM119" s="851"/>
      <c r="AN119" s="851"/>
      <c r="AO119" s="851"/>
      <c r="AP119" s="851"/>
      <c r="AQ119" s="851"/>
      <c r="AR119" s="851"/>
    </row>
    <row r="120" spans="1:44" ht="123.75" hidden="1" customHeight="1" thickBot="1" x14ac:dyDescent="0.35">
      <c r="A120" s="851">
        <v>294</v>
      </c>
      <c r="B120" s="849" t="s">
        <v>604</v>
      </c>
      <c r="C120" s="852" t="s">
        <v>1473</v>
      </c>
      <c r="D120" s="691" t="s">
        <v>1477</v>
      </c>
      <c r="E120" s="701" t="e">
        <f>HLOOKUP($D$2,'2020 Data(H)'!$C$1:$CZ$428,83,FALSE)</f>
        <v>#N/A</v>
      </c>
      <c r="F120" s="303">
        <v>0</v>
      </c>
      <c r="G120" s="762"/>
      <c r="H120" s="17"/>
      <c r="I120" s="79"/>
      <c r="J120" s="607"/>
      <c r="L120" s="736"/>
      <c r="Z120" s="851"/>
      <c r="AA120" s="851"/>
      <c r="AB120" s="851"/>
      <c r="AC120" s="851"/>
      <c r="AD120" s="851"/>
      <c r="AE120" s="851"/>
      <c r="AF120" s="851"/>
      <c r="AG120" s="851"/>
      <c r="AH120" s="851"/>
      <c r="AI120" s="851"/>
      <c r="AJ120" s="851"/>
      <c r="AK120" s="851"/>
      <c r="AL120" s="851"/>
      <c r="AM120" s="851"/>
      <c r="AN120" s="851"/>
      <c r="AO120" s="851"/>
      <c r="AP120" s="851"/>
      <c r="AQ120" s="851"/>
      <c r="AR120" s="851"/>
    </row>
    <row r="121" spans="1:44" hidden="1" x14ac:dyDescent="0.3">
      <c r="E121" s="701"/>
      <c r="Z121" s="18"/>
    </row>
    <row r="122" spans="1:44" hidden="1" x14ac:dyDescent="0.3">
      <c r="E122" s="701"/>
      <c r="Z122" s="18"/>
    </row>
    <row r="123" spans="1:44" ht="129.75" hidden="1" customHeight="1" thickBot="1" x14ac:dyDescent="0.35">
      <c r="A123" s="851">
        <v>31</v>
      </c>
      <c r="B123" s="849" t="s">
        <v>725</v>
      </c>
      <c r="C123" s="852" t="s">
        <v>1457</v>
      </c>
      <c r="D123" s="852" t="s">
        <v>1459</v>
      </c>
      <c r="E123" s="701" t="e">
        <f>HLOOKUP($D$2,'2020 Data(H)'!$C$1:$CZ$428,19,FALSE)</f>
        <v>#N/A</v>
      </c>
      <c r="F123" s="303">
        <v>0</v>
      </c>
      <c r="G123" s="762"/>
      <c r="H123" s="17"/>
      <c r="I123" s="79"/>
      <c r="J123" s="607"/>
      <c r="L123" s="736"/>
      <c r="Z123" s="851"/>
      <c r="AA123" s="851"/>
      <c r="AB123" s="851"/>
      <c r="AC123" s="851"/>
      <c r="AD123" s="851"/>
      <c r="AE123" s="851"/>
      <c r="AF123" s="851"/>
      <c r="AG123" s="851"/>
      <c r="AH123" s="851"/>
      <c r="AI123" s="851"/>
      <c r="AJ123" s="851"/>
      <c r="AK123" s="851"/>
      <c r="AL123" s="851"/>
      <c r="AM123" s="851"/>
      <c r="AN123" s="851"/>
      <c r="AO123" s="851"/>
      <c r="AP123" s="851"/>
      <c r="AQ123" s="851"/>
      <c r="AR123" s="851"/>
    </row>
    <row r="124" spans="1:44" ht="94.5" hidden="1" customHeight="1" thickBot="1" x14ac:dyDescent="0.35">
      <c r="A124" s="851" t="s">
        <v>1460</v>
      </c>
      <c r="B124" s="849" t="s">
        <v>725</v>
      </c>
      <c r="C124" s="852" t="s">
        <v>1461</v>
      </c>
      <c r="D124" s="852" t="s">
        <v>383</v>
      </c>
      <c r="E124" s="701" t="e">
        <f>HLOOKUP($D$2,'2020 Data(H)'!$C$1:$CZ$428,74,FALSE)</f>
        <v>#N/A</v>
      </c>
      <c r="F124" s="303">
        <v>0</v>
      </c>
      <c r="G124" s="762"/>
      <c r="H124" s="17"/>
      <c r="I124" s="79"/>
      <c r="J124" s="607"/>
      <c r="L124" s="736"/>
      <c r="Z124" s="851"/>
      <c r="AA124" s="851"/>
      <c r="AB124" s="851"/>
      <c r="AC124" s="851"/>
      <c r="AD124" s="851"/>
      <c r="AE124" s="851"/>
      <c r="AF124" s="851"/>
      <c r="AG124" s="851"/>
      <c r="AH124" s="851"/>
      <c r="AI124" s="851"/>
      <c r="AJ124" s="851"/>
      <c r="AK124" s="851"/>
      <c r="AL124" s="851"/>
      <c r="AM124" s="851"/>
      <c r="AN124" s="851"/>
      <c r="AO124" s="851"/>
      <c r="AP124" s="851"/>
      <c r="AQ124" s="851"/>
      <c r="AR124" s="851"/>
    </row>
    <row r="125" spans="1:44" ht="78" hidden="1" customHeight="1" thickBot="1" x14ac:dyDescent="0.35">
      <c r="A125" s="851" t="s">
        <v>1462</v>
      </c>
      <c r="B125" s="849" t="s">
        <v>725</v>
      </c>
      <c r="C125" s="852" t="s">
        <v>1461</v>
      </c>
      <c r="D125" s="852" t="s">
        <v>318</v>
      </c>
      <c r="E125" s="701" t="e">
        <f>HLOOKUP($D$2,'2020 Data(H)'!$C$1:$CZ$428,21,FALSE)</f>
        <v>#N/A</v>
      </c>
      <c r="F125" s="303">
        <v>0</v>
      </c>
      <c r="G125" s="762"/>
      <c r="H125" s="17"/>
      <c r="I125" s="79"/>
      <c r="J125" s="607"/>
      <c r="L125" s="736"/>
      <c r="Z125" s="851"/>
      <c r="AA125" s="851"/>
      <c r="AB125" s="851"/>
      <c r="AC125" s="851"/>
      <c r="AD125" s="851"/>
      <c r="AE125" s="851"/>
      <c r="AF125" s="851"/>
      <c r="AG125" s="851"/>
      <c r="AH125" s="851"/>
      <c r="AI125" s="851"/>
      <c r="AJ125" s="851"/>
      <c r="AK125" s="851"/>
      <c r="AL125" s="851"/>
      <c r="AM125" s="851"/>
      <c r="AN125" s="851"/>
      <c r="AO125" s="851"/>
      <c r="AP125" s="851"/>
      <c r="AQ125" s="851"/>
      <c r="AR125" s="851"/>
    </row>
    <row r="126" spans="1:44" ht="55.5" hidden="1" customHeight="1" thickBot="1" x14ac:dyDescent="0.35">
      <c r="A126" s="851">
        <v>104</v>
      </c>
      <c r="B126" s="849" t="s">
        <v>725</v>
      </c>
      <c r="C126" s="4" t="s">
        <v>1478</v>
      </c>
      <c r="D126" s="691" t="s">
        <v>1479</v>
      </c>
      <c r="E126" s="701" t="e">
        <f>HLOOKUP($D$2,'2020 Data(H)'!$C$1:$CZ$428,64,FALSE)</f>
        <v>#N/A</v>
      </c>
      <c r="F126" s="303">
        <v>0</v>
      </c>
      <c r="G126" s="762"/>
      <c r="H126" s="17"/>
      <c r="I126" s="79"/>
      <c r="J126" s="607"/>
      <c r="L126" s="736"/>
      <c r="Z126" s="851"/>
      <c r="AA126" s="851"/>
      <c r="AB126" s="851"/>
      <c r="AC126" s="851"/>
      <c r="AD126" s="851"/>
      <c r="AE126" s="851"/>
      <c r="AF126" s="851"/>
      <c r="AG126" s="851"/>
      <c r="AH126" s="851"/>
      <c r="AI126" s="851"/>
      <c r="AJ126" s="851"/>
      <c r="AK126" s="851"/>
      <c r="AL126" s="851"/>
      <c r="AM126" s="851"/>
      <c r="AN126" s="851"/>
      <c r="AO126" s="851"/>
      <c r="AP126" s="851"/>
      <c r="AQ126" s="851"/>
      <c r="AR126" s="851"/>
    </row>
    <row r="127" spans="1:44" ht="70.5" hidden="1" customHeight="1" thickBot="1" x14ac:dyDescent="0.35">
      <c r="A127" s="851">
        <v>39</v>
      </c>
      <c r="B127" s="849" t="s">
        <v>725</v>
      </c>
      <c r="C127" s="4" t="s">
        <v>1478</v>
      </c>
      <c r="D127" s="24" t="s">
        <v>1480</v>
      </c>
      <c r="E127" s="701" t="e">
        <f>HLOOKUP($D$2,'2020 Data(H)'!$C$1:$CZ$428,27,FALSE)</f>
        <v>#N/A</v>
      </c>
      <c r="F127" s="303">
        <v>0</v>
      </c>
      <c r="G127" s="762"/>
      <c r="H127" s="17"/>
      <c r="I127" s="79"/>
      <c r="J127" s="607"/>
      <c r="L127" s="736"/>
      <c r="Z127" s="851"/>
      <c r="AA127" s="851"/>
      <c r="AB127" s="851"/>
      <c r="AC127" s="851"/>
      <c r="AD127" s="851"/>
      <c r="AE127" s="851"/>
      <c r="AF127" s="851"/>
      <c r="AG127" s="851"/>
      <c r="AH127" s="851"/>
      <c r="AI127" s="851"/>
      <c r="AJ127" s="851"/>
      <c r="AK127" s="851"/>
      <c r="AL127" s="851"/>
      <c r="AM127" s="851"/>
      <c r="AN127" s="851"/>
      <c r="AO127" s="851"/>
      <c r="AP127" s="851"/>
      <c r="AQ127" s="851"/>
      <c r="AR127" s="851"/>
    </row>
    <row r="128" spans="1:44" ht="15" thickBot="1" x14ac:dyDescent="0.35">
      <c r="A128" s="107"/>
      <c r="B128" s="889" t="s">
        <v>1577</v>
      </c>
      <c r="C128" s="889"/>
      <c r="D128" s="873"/>
      <c r="E128" s="873"/>
      <c r="F128" s="893"/>
      <c r="G128" s="894"/>
      <c r="H128" s="17"/>
      <c r="I128" s="79"/>
      <c r="L128" s="736"/>
      <c r="Z128" s="107"/>
      <c r="AA128" s="107"/>
      <c r="AB128" s="107"/>
      <c r="AC128" s="107"/>
      <c r="AD128" s="107"/>
      <c r="AE128" s="107"/>
      <c r="AF128" s="107"/>
      <c r="AG128" s="107"/>
      <c r="AH128" s="107"/>
      <c r="AI128" s="107"/>
      <c r="AJ128" s="107"/>
      <c r="AK128" s="107"/>
      <c r="AL128" s="107"/>
      <c r="AM128" s="107"/>
      <c r="AN128" s="107"/>
      <c r="AO128" s="107"/>
      <c r="AP128" s="107"/>
      <c r="AQ128" s="107"/>
      <c r="AR128" s="107"/>
    </row>
    <row r="129" spans="1:44" ht="15" thickBot="1" x14ac:dyDescent="0.35">
      <c r="A129" s="107"/>
      <c r="B129" s="889" t="s">
        <v>24</v>
      </c>
      <c r="C129" s="889"/>
      <c r="D129" s="889"/>
      <c r="E129" s="871"/>
      <c r="F129" s="895"/>
      <c r="G129" s="896"/>
      <c r="H129" s="17"/>
      <c r="I129" s="79"/>
      <c r="L129" s="736"/>
      <c r="Z129" s="107"/>
      <c r="AA129" s="107"/>
      <c r="AB129" s="107"/>
      <c r="AC129" s="107"/>
      <c r="AD129" s="107"/>
      <c r="AE129" s="107"/>
      <c r="AF129" s="107"/>
      <c r="AG129" s="107"/>
      <c r="AH129" s="107"/>
      <c r="AI129" s="107"/>
      <c r="AJ129" s="107"/>
      <c r="AK129" s="107"/>
      <c r="AL129" s="107"/>
      <c r="AM129" s="107"/>
      <c r="AN129" s="107"/>
      <c r="AO129" s="107"/>
      <c r="AP129" s="107"/>
      <c r="AQ129" s="107"/>
      <c r="AR129" s="107"/>
    </row>
    <row r="130" spans="1:44" ht="15" thickBot="1" x14ac:dyDescent="0.35">
      <c r="A130" s="107"/>
      <c r="B130" s="889" t="s">
        <v>22</v>
      </c>
      <c r="C130" s="889"/>
      <c r="D130" s="889"/>
      <c r="E130" s="871"/>
      <c r="F130" s="895"/>
      <c r="G130" s="896"/>
      <c r="H130" s="776"/>
      <c r="I130" s="79"/>
      <c r="L130" s="736"/>
      <c r="Z130" s="107"/>
      <c r="AA130" s="107"/>
      <c r="AB130" s="107"/>
      <c r="AC130" s="107"/>
      <c r="AD130" s="107"/>
      <c r="AE130" s="107"/>
      <c r="AF130" s="107"/>
      <c r="AG130" s="107"/>
      <c r="AH130" s="107"/>
      <c r="AI130" s="107"/>
      <c r="AJ130" s="107"/>
      <c r="AK130" s="107"/>
      <c r="AL130" s="107"/>
      <c r="AM130" s="107"/>
      <c r="AN130" s="107"/>
      <c r="AO130" s="107"/>
      <c r="AP130" s="107"/>
      <c r="AQ130" s="107"/>
      <c r="AR130" s="107"/>
    </row>
    <row r="131" spans="1:44" ht="78" customHeight="1" thickBot="1" x14ac:dyDescent="0.35">
      <c r="A131" s="107">
        <v>596</v>
      </c>
      <c r="B131" s="703" t="s">
        <v>57</v>
      </c>
      <c r="C131" s="854"/>
      <c r="D131" s="700" t="s">
        <v>613</v>
      </c>
      <c r="E131" s="701" t="e">
        <f>HLOOKUP($D$2,'2020 Data(H)'!$C$1:$CZ$428,255,FALSE)</f>
        <v>#N/A</v>
      </c>
      <c r="F131" s="303"/>
      <c r="G131" s="777"/>
      <c r="H131" s="776"/>
      <c r="I131" s="79"/>
      <c r="L131" s="736"/>
      <c r="Z131" s="107"/>
      <c r="AA131" s="107"/>
      <c r="AB131" s="107"/>
      <c r="AC131" s="107"/>
      <c r="AD131" s="107"/>
      <c r="AE131" s="107"/>
      <c r="AF131" s="107"/>
      <c r="AG131" s="107"/>
      <c r="AH131" s="107"/>
      <c r="AI131" s="107"/>
      <c r="AJ131" s="107"/>
      <c r="AK131" s="107"/>
      <c r="AL131" s="107"/>
      <c r="AM131" s="107"/>
      <c r="AN131" s="107"/>
      <c r="AO131" s="107"/>
      <c r="AP131" s="107"/>
      <c r="AQ131" s="107"/>
      <c r="AR131" s="107"/>
    </row>
    <row r="132" spans="1:44" ht="114.75" customHeight="1" thickBot="1" x14ac:dyDescent="0.35">
      <c r="A132" s="107">
        <v>80</v>
      </c>
      <c r="B132" s="4" t="s">
        <v>62</v>
      </c>
      <c r="C132" s="4" t="s">
        <v>1578</v>
      </c>
      <c r="D132" s="24" t="s">
        <v>1579</v>
      </c>
      <c r="E132" s="701" t="e">
        <f>HLOOKUP($D$2,'2020 Data(H)'!$C$1:$CZ$428,44,FALSE)</f>
        <v>#N/A</v>
      </c>
      <c r="F132" s="273">
        <v>0</v>
      </c>
      <c r="G132" s="701" t="e">
        <f>HLOOKUP($D$2,'2020 Data(H)'!C1:BS295,249,FALSE)</f>
        <v>#N/A</v>
      </c>
      <c r="H132" s="778"/>
      <c r="I132" s="79"/>
      <c r="L132" s="736"/>
      <c r="Z132" s="107"/>
      <c r="AA132" s="107"/>
      <c r="AB132" s="107"/>
      <c r="AC132" s="107"/>
      <c r="AD132" s="107"/>
      <c r="AE132" s="107"/>
      <c r="AF132" s="107"/>
      <c r="AG132" s="107"/>
      <c r="AH132" s="107"/>
      <c r="AI132" s="107"/>
      <c r="AJ132" s="107"/>
      <c r="AK132" s="107"/>
      <c r="AL132" s="107"/>
      <c r="AM132" s="107"/>
      <c r="AN132" s="107"/>
      <c r="AO132" s="107"/>
      <c r="AP132" s="107"/>
      <c r="AQ132" s="107"/>
      <c r="AR132" s="107"/>
    </row>
    <row r="133" spans="1:44" ht="63.75" customHeight="1" thickBot="1" x14ac:dyDescent="0.35">
      <c r="A133" s="107">
        <v>81</v>
      </c>
      <c r="B133" s="4" t="s">
        <v>62</v>
      </c>
      <c r="C133" s="4" t="s">
        <v>1578</v>
      </c>
      <c r="D133" s="24" t="s">
        <v>1580</v>
      </c>
      <c r="E133" s="701" t="e">
        <f>HLOOKUP($D$2,'2020 Data(H)'!$C$1:$CZ$428,45,FALSE)</f>
        <v>#N/A</v>
      </c>
      <c r="F133" s="303">
        <v>0</v>
      </c>
      <c r="G133" s="772"/>
      <c r="H133" s="17"/>
      <c r="I133" s="79"/>
      <c r="L133" s="736"/>
      <c r="Z133" s="107"/>
      <c r="AA133" s="107"/>
      <c r="AB133" s="107"/>
      <c r="AC133" s="107"/>
      <c r="AD133" s="107"/>
      <c r="AE133" s="107"/>
      <c r="AF133" s="107"/>
      <c r="AG133" s="107"/>
      <c r="AH133" s="107"/>
      <c r="AI133" s="107"/>
      <c r="AJ133" s="107"/>
      <c r="AK133" s="107"/>
      <c r="AL133" s="107"/>
      <c r="AM133" s="107"/>
      <c r="AN133" s="107"/>
      <c r="AO133" s="107"/>
      <c r="AP133" s="107"/>
      <c r="AQ133" s="107"/>
      <c r="AR133" s="107"/>
    </row>
    <row r="134" spans="1:44" ht="84" customHeight="1" thickBot="1" x14ac:dyDescent="0.35">
      <c r="A134" s="107">
        <v>579</v>
      </c>
      <c r="B134" s="855" t="s">
        <v>559</v>
      </c>
      <c r="C134" s="703" t="s">
        <v>1578</v>
      </c>
      <c r="D134" s="856" t="s">
        <v>1581</v>
      </c>
      <c r="E134" s="701" t="e">
        <f>HLOOKUP($D$2,'2020 Data(H)'!$C$1:$CZ$428,229,FALSE)</f>
        <v>#N/A</v>
      </c>
      <c r="F134" s="303">
        <v>0</v>
      </c>
      <c r="G134" s="762"/>
      <c r="H134" s="17"/>
      <c r="I134" s="763"/>
      <c r="L134" s="736"/>
      <c r="Z134" s="107"/>
      <c r="AA134" s="107"/>
      <c r="AB134" s="107"/>
      <c r="AC134" s="107"/>
      <c r="AD134" s="107"/>
      <c r="AE134" s="107"/>
      <c r="AF134" s="107"/>
      <c r="AG134" s="107"/>
      <c r="AH134" s="107"/>
      <c r="AI134" s="107"/>
      <c r="AJ134" s="107"/>
      <c r="AK134" s="107"/>
      <c r="AL134" s="107"/>
      <c r="AM134" s="107"/>
      <c r="AN134" s="107"/>
      <c r="AO134" s="107"/>
      <c r="AP134" s="107"/>
      <c r="AQ134" s="107"/>
      <c r="AR134" s="107"/>
    </row>
    <row r="135" spans="1:44" ht="48.75" customHeight="1" x14ac:dyDescent="0.3">
      <c r="A135" s="107">
        <v>510</v>
      </c>
      <c r="B135" s="4" t="s">
        <v>37</v>
      </c>
      <c r="C135" s="4" t="s">
        <v>1578</v>
      </c>
      <c r="D135" s="29" t="s">
        <v>531</v>
      </c>
      <c r="E135" s="701" t="e">
        <f>HLOOKUP($D$2,'2020 Data(H)'!$C$1:$CZ$428,160,FALSE)</f>
        <v>#N/A</v>
      </c>
      <c r="F135" s="303">
        <v>0</v>
      </c>
      <c r="G135" s="772"/>
      <c r="H135" s="17"/>
      <c r="I135" s="79"/>
      <c r="Z135" s="107"/>
      <c r="AA135" s="107"/>
      <c r="AB135" s="107"/>
      <c r="AC135" s="107"/>
      <c r="AD135" s="107"/>
      <c r="AE135" s="107"/>
      <c r="AF135" s="107"/>
      <c r="AG135" s="107"/>
      <c r="AH135" s="107"/>
      <c r="AI135" s="107"/>
      <c r="AJ135" s="107"/>
      <c r="AK135" s="107"/>
      <c r="AL135" s="107"/>
      <c r="AM135" s="107"/>
      <c r="AN135" s="107"/>
      <c r="AO135" s="107"/>
      <c r="AP135" s="107"/>
      <c r="AQ135" s="107"/>
      <c r="AR135" s="107"/>
    </row>
    <row r="136" spans="1:44" ht="68.25" customHeight="1" x14ac:dyDescent="0.3">
      <c r="A136" s="316">
        <v>654</v>
      </c>
      <c r="B136" s="857" t="s">
        <v>37</v>
      </c>
      <c r="C136" s="857" t="s">
        <v>1578</v>
      </c>
      <c r="D136" s="346" t="s">
        <v>1582</v>
      </c>
      <c r="E136" s="701" t="e">
        <f>HLOOKUP($D$2,'2020 Data(H)'!$C$1:$CZ$428,307,FALSE)</f>
        <v>#N/A</v>
      </c>
      <c r="F136" s="303">
        <v>0</v>
      </c>
      <c r="G136" s="762">
        <f>IF((F132+F133+F135)&gt;F136,"Error: Please review components of current assets above.  Account numbers (80+81+510)&gt;654",)</f>
        <v>0</v>
      </c>
      <c r="H136" s="17"/>
      <c r="I136" s="79"/>
      <c r="Z136" s="316"/>
      <c r="AA136" s="316"/>
      <c r="AB136" s="316"/>
      <c r="AC136" s="316"/>
      <c r="AD136" s="316"/>
      <c r="AE136" s="316"/>
      <c r="AF136" s="316"/>
      <c r="AG136" s="316"/>
      <c r="AH136" s="316"/>
      <c r="AI136" s="316"/>
      <c r="AJ136" s="316"/>
      <c r="AK136" s="316"/>
      <c r="AL136" s="316"/>
      <c r="AM136" s="316"/>
      <c r="AN136" s="316"/>
      <c r="AO136" s="316"/>
      <c r="AP136" s="316"/>
      <c r="AQ136" s="316"/>
      <c r="AR136" s="316"/>
    </row>
    <row r="137" spans="1:44" ht="75.75" customHeight="1" x14ac:dyDescent="0.3">
      <c r="A137" s="316">
        <v>655</v>
      </c>
      <c r="B137" s="857" t="s">
        <v>37</v>
      </c>
      <c r="C137" s="857" t="s">
        <v>1578</v>
      </c>
      <c r="D137" s="318" t="s">
        <v>936</v>
      </c>
      <c r="E137" s="701" t="e">
        <f>HLOOKUP($D$2,'2020 Data(H)'!$C$1:$CZ$428,308,FALSE)</f>
        <v>#N/A</v>
      </c>
      <c r="F137" s="303">
        <v>0</v>
      </c>
      <c r="G137" s="762"/>
      <c r="H137" s="17"/>
      <c r="I137" s="79"/>
      <c r="Z137" s="316"/>
      <c r="AA137" s="316"/>
      <c r="AB137" s="316"/>
      <c r="AC137" s="316"/>
      <c r="AD137" s="316"/>
      <c r="AE137" s="316"/>
      <c r="AF137" s="316"/>
      <c r="AG137" s="316"/>
      <c r="AH137" s="316"/>
      <c r="AI137" s="316"/>
      <c r="AJ137" s="316"/>
      <c r="AK137" s="316"/>
      <c r="AL137" s="316"/>
      <c r="AM137" s="316"/>
      <c r="AN137" s="316"/>
      <c r="AO137" s="316"/>
      <c r="AP137" s="316"/>
      <c r="AQ137" s="316"/>
      <c r="AR137" s="316"/>
    </row>
    <row r="138" spans="1:44" ht="48" customHeight="1" x14ac:dyDescent="0.3">
      <c r="A138" s="107">
        <v>381</v>
      </c>
      <c r="B138" s="4" t="s">
        <v>37</v>
      </c>
      <c r="C138" s="4" t="s">
        <v>1578</v>
      </c>
      <c r="D138" s="105" t="s">
        <v>130</v>
      </c>
      <c r="E138" s="701" t="e">
        <f>HLOOKUP($D$2,'2020 Data(H)'!$C$1:$CZ$428,140,FALSE)</f>
        <v>#N/A</v>
      </c>
      <c r="F138" s="303">
        <v>0</v>
      </c>
      <c r="G138" s="762">
        <f>IF(F136&gt;F138,"Error: Please review components of current assets above. Account numbers 654&gt;381",)</f>
        <v>0</v>
      </c>
      <c r="H138" s="17"/>
      <c r="I138" s="79"/>
      <c r="Z138" s="107"/>
      <c r="AA138" s="107"/>
      <c r="AB138" s="107"/>
      <c r="AC138" s="107"/>
      <c r="AD138" s="107"/>
      <c r="AE138" s="107"/>
      <c r="AF138" s="107"/>
      <c r="AG138" s="107"/>
      <c r="AH138" s="107"/>
      <c r="AI138" s="107"/>
      <c r="AJ138" s="107"/>
      <c r="AK138" s="107"/>
      <c r="AL138" s="107"/>
      <c r="AM138" s="107"/>
      <c r="AN138" s="107"/>
      <c r="AO138" s="107"/>
      <c r="AP138" s="107"/>
      <c r="AQ138" s="107"/>
      <c r="AR138" s="107"/>
    </row>
    <row r="139" spans="1:44" ht="63" customHeight="1" x14ac:dyDescent="0.3">
      <c r="A139" s="107">
        <v>578</v>
      </c>
      <c r="B139" s="703" t="s">
        <v>59</v>
      </c>
      <c r="C139" s="703" t="s">
        <v>1578</v>
      </c>
      <c r="D139" s="856" t="s">
        <v>1583</v>
      </c>
      <c r="E139" s="701" t="e">
        <f>HLOOKUP($D$2,'2020 Data(H)'!$C$1:$CZ$428,228,FALSE)</f>
        <v>#N/A</v>
      </c>
      <c r="F139" s="303">
        <v>0</v>
      </c>
      <c r="G139" s="762"/>
      <c r="H139" s="763"/>
      <c r="I139" s="764"/>
      <c r="Z139" s="107"/>
      <c r="AA139" s="107"/>
      <c r="AB139" s="107"/>
      <c r="AC139" s="107"/>
      <c r="AD139" s="107"/>
      <c r="AE139" s="107"/>
      <c r="AF139" s="107"/>
      <c r="AG139" s="107"/>
      <c r="AH139" s="107"/>
      <c r="AI139" s="107"/>
      <c r="AJ139" s="107"/>
      <c r="AK139" s="107"/>
      <c r="AL139" s="107"/>
      <c r="AM139" s="107"/>
      <c r="AN139" s="107"/>
      <c r="AO139" s="107"/>
      <c r="AP139" s="107"/>
      <c r="AQ139" s="107"/>
      <c r="AR139" s="107"/>
    </row>
    <row r="140" spans="1:44" ht="126" customHeight="1" x14ac:dyDescent="0.3">
      <c r="A140" s="317">
        <v>633</v>
      </c>
      <c r="B140" s="857" t="s">
        <v>935</v>
      </c>
      <c r="C140" s="857" t="s">
        <v>729</v>
      </c>
      <c r="D140" s="346" t="s">
        <v>1662</v>
      </c>
      <c r="E140" s="701" t="e">
        <f>HLOOKUP($D$2,'2020 Data(H)'!$C$1:$CZ$428,292,FALSE)</f>
        <v>#N/A</v>
      </c>
      <c r="F140" s="303">
        <v>0</v>
      </c>
      <c r="G140" s="779" t="str">
        <f>IF(F140&gt;=(F141+F142+F143+F144+F145+F146),"","Account 633 is less than the total sum of accounts 634 through 638 + 383")</f>
        <v/>
      </c>
      <c r="H140" s="785">
        <f>F140-(F141+F142+F143+F144+F145+F146)</f>
        <v>0</v>
      </c>
      <c r="I140" s="767" t="str">
        <f>IF(F140&gt;=(F141+F142+F143+F144+F145+F146),"","Account 633 is less than the total sum of accounts 634 through 638 + 383")</f>
        <v/>
      </c>
      <c r="Z140" s="317"/>
      <c r="AA140" s="317"/>
      <c r="AB140" s="317"/>
      <c r="AC140" s="317"/>
      <c r="AD140" s="317"/>
      <c r="AE140" s="317"/>
      <c r="AF140" s="317"/>
      <c r="AG140" s="317"/>
      <c r="AH140" s="317"/>
      <c r="AI140" s="317"/>
      <c r="AJ140" s="317"/>
      <c r="AK140" s="317"/>
      <c r="AL140" s="317"/>
      <c r="AM140" s="317"/>
      <c r="AN140" s="317"/>
      <c r="AO140" s="317"/>
      <c r="AP140" s="317"/>
      <c r="AQ140" s="317"/>
      <c r="AR140" s="317"/>
    </row>
    <row r="141" spans="1:44" ht="109.5" customHeight="1" x14ac:dyDescent="0.3">
      <c r="A141" s="316">
        <v>634</v>
      </c>
      <c r="B141" s="858" t="s">
        <v>725</v>
      </c>
      <c r="C141" s="857" t="s">
        <v>729</v>
      </c>
      <c r="D141" s="346" t="s">
        <v>1664</v>
      </c>
      <c r="E141" s="701" t="e">
        <f>HLOOKUP($D$2,'2020 Data(H)'!$C$1:$CZ$428,293,FALSE)</f>
        <v>#N/A</v>
      </c>
      <c r="F141" s="303">
        <v>0</v>
      </c>
      <c r="G141" s="780">
        <f>IF(F141&gt;F140,"Please review account numbers 634&gt;633",)</f>
        <v>0</v>
      </c>
      <c r="H141" s="767"/>
      <c r="I141" s="767"/>
      <c r="Z141" s="316"/>
      <c r="AA141" s="316"/>
      <c r="AB141" s="316"/>
      <c r="AC141" s="316"/>
      <c r="AD141" s="316"/>
      <c r="AE141" s="316"/>
      <c r="AF141" s="316"/>
      <c r="AG141" s="316"/>
      <c r="AH141" s="316"/>
      <c r="AI141" s="316"/>
      <c r="AJ141" s="316"/>
      <c r="AK141" s="316"/>
      <c r="AL141" s="316"/>
      <c r="AM141" s="316"/>
      <c r="AN141" s="316"/>
      <c r="AO141" s="316"/>
      <c r="AP141" s="316"/>
      <c r="AQ141" s="316"/>
      <c r="AR141" s="316"/>
    </row>
    <row r="142" spans="1:44" ht="130.5" customHeight="1" x14ac:dyDescent="0.3">
      <c r="A142" s="316">
        <v>635</v>
      </c>
      <c r="B142" s="858" t="s">
        <v>725</v>
      </c>
      <c r="C142" s="857" t="s">
        <v>729</v>
      </c>
      <c r="D142" s="346" t="s">
        <v>1663</v>
      </c>
      <c r="E142" s="701" t="e">
        <f>HLOOKUP($D$2,'2020 Data(H)'!$C$1:$CZ$428,294,FALSE)</f>
        <v>#N/A</v>
      </c>
      <c r="F142" s="303">
        <v>0</v>
      </c>
      <c r="G142" s="780">
        <f>IF(F142&gt;F140,"Please review account numbers 635&gt;633",)</f>
        <v>0</v>
      </c>
      <c r="H142" s="767"/>
      <c r="I142" s="767"/>
      <c r="Z142" s="316"/>
      <c r="AA142" s="316"/>
      <c r="AB142" s="316"/>
      <c r="AC142" s="316"/>
      <c r="AD142" s="316"/>
      <c r="AE142" s="316"/>
      <c r="AF142" s="316"/>
      <c r="AG142" s="316"/>
      <c r="AH142" s="316"/>
      <c r="AI142" s="316"/>
      <c r="AJ142" s="316"/>
      <c r="AK142" s="316"/>
      <c r="AL142" s="316"/>
      <c r="AM142" s="316"/>
      <c r="AN142" s="316"/>
      <c r="AO142" s="316"/>
      <c r="AP142" s="316"/>
      <c r="AQ142" s="316"/>
      <c r="AR142" s="316"/>
    </row>
    <row r="143" spans="1:44" ht="106.5" customHeight="1" x14ac:dyDescent="0.3">
      <c r="A143" s="316">
        <v>636</v>
      </c>
      <c r="B143" s="858" t="s">
        <v>725</v>
      </c>
      <c r="C143" s="857" t="s">
        <v>729</v>
      </c>
      <c r="D143" s="346" t="s">
        <v>1668</v>
      </c>
      <c r="E143" s="701" t="e">
        <f>HLOOKUP($D$2,'2020 Data(H)'!$C$1:$CZ$428,295,FALSE)</f>
        <v>#N/A</v>
      </c>
      <c r="F143" s="303">
        <v>0</v>
      </c>
      <c r="G143" s="780">
        <f>IF(F143&gt;F140,"Please review account numbers 636&gt;633",)</f>
        <v>0</v>
      </c>
      <c r="H143" s="767"/>
      <c r="I143" s="767"/>
      <c r="Z143" s="316"/>
      <c r="AA143" s="316"/>
      <c r="AB143" s="316"/>
      <c r="AC143" s="316"/>
      <c r="AD143" s="316"/>
      <c r="AE143" s="316"/>
      <c r="AF143" s="316"/>
      <c r="AG143" s="316"/>
      <c r="AH143" s="316"/>
      <c r="AI143" s="316"/>
      <c r="AJ143" s="316"/>
      <c r="AK143" s="316"/>
      <c r="AL143" s="316"/>
      <c r="AM143" s="316"/>
      <c r="AN143" s="316"/>
      <c r="AO143" s="316"/>
      <c r="AP143" s="316"/>
      <c r="AQ143" s="316"/>
      <c r="AR143" s="316"/>
    </row>
    <row r="144" spans="1:44" ht="80.25" customHeight="1" x14ac:dyDescent="0.3">
      <c r="A144" s="316">
        <v>637</v>
      </c>
      <c r="B144" s="858" t="s">
        <v>725</v>
      </c>
      <c r="C144" s="857" t="s">
        <v>729</v>
      </c>
      <c r="D144" s="346" t="s">
        <v>1667</v>
      </c>
      <c r="E144" s="701" t="e">
        <f>HLOOKUP($D$2,'2020 Data(H)'!$C$1:$CZ$428,296,FALSE)</f>
        <v>#N/A</v>
      </c>
      <c r="F144" s="303">
        <v>0</v>
      </c>
      <c r="G144" s="780">
        <f>IF(F144&gt;F140,"Please review account numbers 637&gt;633",)</f>
        <v>0</v>
      </c>
      <c r="H144" s="767"/>
      <c r="I144" s="767"/>
      <c r="Z144" s="316"/>
      <c r="AA144" s="316"/>
      <c r="AB144" s="316"/>
      <c r="AC144" s="316"/>
      <c r="AD144" s="316"/>
      <c r="AE144" s="316"/>
      <c r="AF144" s="316"/>
      <c r="AG144" s="316"/>
      <c r="AH144" s="316"/>
      <c r="AI144" s="316"/>
      <c r="AJ144" s="316"/>
      <c r="AK144" s="316"/>
      <c r="AL144" s="316"/>
      <c r="AM144" s="316"/>
      <c r="AN144" s="316"/>
      <c r="AO144" s="316"/>
      <c r="AP144" s="316"/>
      <c r="AQ144" s="316"/>
      <c r="AR144" s="316"/>
    </row>
    <row r="145" spans="1:44" ht="110.25" customHeight="1" x14ac:dyDescent="0.3">
      <c r="A145" s="316">
        <v>638</v>
      </c>
      <c r="B145" s="858" t="s">
        <v>725</v>
      </c>
      <c r="C145" s="857" t="s">
        <v>729</v>
      </c>
      <c r="D145" s="346" t="s">
        <v>1666</v>
      </c>
      <c r="E145" s="701" t="e">
        <f>HLOOKUP($D$2,'2020 Data(H)'!$C$1:$CZ$428,297,FALSE)</f>
        <v>#N/A</v>
      </c>
      <c r="F145" s="303">
        <v>0</v>
      </c>
      <c r="G145" s="780">
        <f>IF(F145&gt;F140,"Please review account numbers 638&gt;633",)</f>
        <v>0</v>
      </c>
      <c r="H145" s="767"/>
      <c r="I145" s="767"/>
      <c r="Z145" s="316"/>
      <c r="AA145" s="316"/>
      <c r="AB145" s="316"/>
      <c r="AC145" s="316"/>
      <c r="AD145" s="316"/>
      <c r="AE145" s="316"/>
      <c r="AF145" s="316"/>
      <c r="AG145" s="316"/>
      <c r="AH145" s="316"/>
      <c r="AI145" s="316"/>
      <c r="AJ145" s="316"/>
      <c r="AK145" s="316"/>
      <c r="AL145" s="316"/>
      <c r="AM145" s="316"/>
      <c r="AN145" s="316"/>
      <c r="AO145" s="316"/>
      <c r="AP145" s="316"/>
      <c r="AQ145" s="316"/>
      <c r="AR145" s="316"/>
    </row>
    <row r="146" spans="1:44" ht="93.75" customHeight="1" x14ac:dyDescent="0.3">
      <c r="A146" s="107">
        <v>383</v>
      </c>
      <c r="B146" s="4" t="s">
        <v>62</v>
      </c>
      <c r="C146" s="4" t="s">
        <v>1578</v>
      </c>
      <c r="D146" s="29" t="s">
        <v>1665</v>
      </c>
      <c r="E146" s="701" t="e">
        <f>HLOOKUP($D$2,'2020 Data(H)'!$C$1:$CZ$428,142,FALSE)</f>
        <v>#N/A</v>
      </c>
      <c r="F146" s="303">
        <v>0</v>
      </c>
      <c r="G146" s="781">
        <f>IF(F146&gt;F140,"Error: Please review components of current liabilities above. Account number 383&gt;633",)</f>
        <v>0</v>
      </c>
      <c r="H146" s="782"/>
      <c r="I146" s="79"/>
      <c r="Z146" s="107"/>
      <c r="AA146" s="107"/>
      <c r="AB146" s="107"/>
      <c r="AC146" s="107"/>
      <c r="AD146" s="107"/>
      <c r="AE146" s="107"/>
      <c r="AF146" s="107"/>
      <c r="AG146" s="107"/>
      <c r="AH146" s="107"/>
      <c r="AI146" s="107"/>
      <c r="AJ146" s="107"/>
      <c r="AK146" s="107"/>
      <c r="AL146" s="107"/>
      <c r="AM146" s="107"/>
      <c r="AN146" s="107"/>
      <c r="AO146" s="107"/>
      <c r="AP146" s="107"/>
      <c r="AQ146" s="107"/>
      <c r="AR146" s="107"/>
    </row>
    <row r="147" spans="1:44" ht="61.5" customHeight="1" x14ac:dyDescent="0.3">
      <c r="A147" s="107">
        <v>349</v>
      </c>
      <c r="B147" s="4" t="s">
        <v>62</v>
      </c>
      <c r="C147" s="4" t="s">
        <v>1578</v>
      </c>
      <c r="D147" s="106" t="s">
        <v>153</v>
      </c>
      <c r="E147" s="701" t="e">
        <f>HLOOKUP($D$2,'2020 Data(H)'!$C$1:$CZ$428,113,FALSE)</f>
        <v>#N/A</v>
      </c>
      <c r="F147" s="303">
        <v>0</v>
      </c>
      <c r="G147" s="762" t="str">
        <f>IF(F140&gt;F147,"Error: Please review accts 633&gt;349","")</f>
        <v/>
      </c>
      <c r="H147" s="17"/>
      <c r="I147" s="79"/>
      <c r="Z147" s="107"/>
      <c r="AA147" s="107"/>
      <c r="AB147" s="107"/>
      <c r="AC147" s="107"/>
      <c r="AD147" s="107"/>
      <c r="AE147" s="107"/>
      <c r="AF147" s="107"/>
      <c r="AG147" s="107"/>
      <c r="AH147" s="107"/>
      <c r="AI147" s="107"/>
      <c r="AJ147" s="107"/>
      <c r="AK147" s="107"/>
      <c r="AL147" s="107"/>
      <c r="AM147" s="107"/>
      <c r="AN147" s="107"/>
      <c r="AO147" s="107"/>
      <c r="AP147" s="107"/>
      <c r="AQ147" s="107"/>
      <c r="AR147" s="107"/>
    </row>
    <row r="148" spans="1:44" ht="105" customHeight="1" x14ac:dyDescent="0.3">
      <c r="A148" s="107">
        <v>375</v>
      </c>
      <c r="B148" s="4" t="s">
        <v>62</v>
      </c>
      <c r="C148" s="4" t="s">
        <v>1578</v>
      </c>
      <c r="D148" s="740" t="s">
        <v>1584</v>
      </c>
      <c r="E148" s="701" t="e">
        <f>HLOOKUP($D$2,'2020 Data(H)'!$C$1:$CZ$428,134,FALSE)</f>
        <v>#N/A</v>
      </c>
      <c r="F148" s="303">
        <v>0</v>
      </c>
      <c r="G148" s="772"/>
      <c r="H148" s="17"/>
      <c r="I148" s="79"/>
      <c r="Z148" s="107"/>
      <c r="AA148" s="107"/>
      <c r="AB148" s="107"/>
      <c r="AC148" s="107"/>
      <c r="AD148" s="107"/>
      <c r="AE148" s="107"/>
      <c r="AF148" s="107"/>
      <c r="AG148" s="107"/>
      <c r="AH148" s="107"/>
      <c r="AI148" s="107"/>
      <c r="AJ148" s="107"/>
      <c r="AK148" s="107"/>
      <c r="AL148" s="107"/>
      <c r="AM148" s="107"/>
      <c r="AN148" s="107"/>
      <c r="AO148" s="107"/>
      <c r="AP148" s="107"/>
      <c r="AQ148" s="107"/>
      <c r="AR148" s="107"/>
    </row>
    <row r="149" spans="1:44" ht="67.5" customHeight="1" x14ac:dyDescent="0.3">
      <c r="A149" s="107">
        <v>83</v>
      </c>
      <c r="B149" s="4" t="s">
        <v>61</v>
      </c>
      <c r="C149" s="4" t="s">
        <v>1578</v>
      </c>
      <c r="D149" s="106" t="s">
        <v>154</v>
      </c>
      <c r="E149" s="701" t="e">
        <f>HLOOKUP($D$2,'2020 Data(H)'!$C$1:$CZ$428,47,FALSE)</f>
        <v>#N/A</v>
      </c>
      <c r="F149" s="303">
        <v>0</v>
      </c>
      <c r="G149" s="762">
        <f>IF(F138-F147-F149=0,,"Error: Total assets less total liabilities do not equal total net assets.  Account numbers 381-349-83=0  The amount of the formula is in the cell to the right")</f>
        <v>0</v>
      </c>
      <c r="H149" s="765">
        <f>F138-F147-F149</f>
        <v>0</v>
      </c>
      <c r="I149" s="79"/>
      <c r="Z149" s="107"/>
      <c r="AA149" s="107"/>
      <c r="AB149" s="107"/>
      <c r="AC149" s="107"/>
      <c r="AD149" s="107"/>
      <c r="AE149" s="107"/>
      <c r="AF149" s="107"/>
      <c r="AG149" s="107"/>
      <c r="AH149" s="107"/>
      <c r="AI149" s="107"/>
      <c r="AJ149" s="107"/>
      <c r="AK149" s="107"/>
      <c r="AL149" s="107"/>
      <c r="AM149" s="107"/>
      <c r="AN149" s="107"/>
      <c r="AO149" s="107"/>
      <c r="AP149" s="107"/>
      <c r="AQ149" s="107"/>
      <c r="AR149" s="107"/>
    </row>
    <row r="150" spans="1:44" ht="40.5" customHeight="1" x14ac:dyDescent="0.3">
      <c r="A150" s="107"/>
      <c r="B150" s="897" t="s">
        <v>155</v>
      </c>
      <c r="C150" s="898"/>
      <c r="D150" s="873"/>
      <c r="E150" s="873"/>
      <c r="F150" s="893"/>
      <c r="G150" s="894"/>
      <c r="H150" s="776"/>
      <c r="I150" s="79"/>
      <c r="Z150" s="107"/>
      <c r="AA150" s="107"/>
      <c r="AB150" s="107"/>
      <c r="AC150" s="107"/>
      <c r="AD150" s="107"/>
      <c r="AE150" s="107"/>
      <c r="AF150" s="107"/>
      <c r="AG150" s="107"/>
      <c r="AH150" s="107"/>
      <c r="AI150" s="107"/>
      <c r="AJ150" s="107"/>
      <c r="AK150" s="107"/>
      <c r="AL150" s="107"/>
      <c r="AM150" s="107"/>
      <c r="AN150" s="107"/>
      <c r="AO150" s="107"/>
      <c r="AP150" s="107"/>
      <c r="AQ150" s="107"/>
      <c r="AR150" s="107"/>
    </row>
    <row r="151" spans="1:44" ht="59.25" customHeight="1" x14ac:dyDescent="0.3">
      <c r="A151" s="107">
        <v>90</v>
      </c>
      <c r="B151" s="4" t="s">
        <v>63</v>
      </c>
      <c r="C151" s="4" t="s">
        <v>1585</v>
      </c>
      <c r="D151" s="24" t="s">
        <v>1586</v>
      </c>
      <c r="E151" s="701" t="e">
        <f>HLOOKUP($D$2,'2020 Data(H)'!$C$1:$CZ$428,52,FALSE)</f>
        <v>#N/A</v>
      </c>
      <c r="F151" s="303">
        <v>0</v>
      </c>
      <c r="G151" s="762">
        <f>IF(F151&lt;0,"Note: Number is normally positive.",)</f>
        <v>0</v>
      </c>
      <c r="H151" s="783"/>
      <c r="I151" s="79"/>
      <c r="Z151" s="107"/>
      <c r="AA151" s="107"/>
      <c r="AB151" s="107"/>
      <c r="AC151" s="107"/>
      <c r="AD151" s="107"/>
      <c r="AE151" s="107"/>
      <c r="AF151" s="107"/>
      <c r="AG151" s="107"/>
      <c r="AH151" s="107"/>
      <c r="AI151" s="107"/>
      <c r="AJ151" s="107"/>
      <c r="AK151" s="107"/>
      <c r="AL151" s="107"/>
      <c r="AM151" s="107"/>
      <c r="AN151" s="107"/>
      <c r="AO151" s="107"/>
      <c r="AP151" s="107"/>
      <c r="AQ151" s="107"/>
      <c r="AR151" s="107"/>
    </row>
    <row r="152" spans="1:44" ht="75" customHeight="1" x14ac:dyDescent="0.3">
      <c r="A152" s="107">
        <v>91</v>
      </c>
      <c r="B152" s="4" t="s">
        <v>58</v>
      </c>
      <c r="C152" s="4" t="s">
        <v>1585</v>
      </c>
      <c r="D152" s="24" t="s">
        <v>1587</v>
      </c>
      <c r="E152" s="701" t="e">
        <f>HLOOKUP($D$2,'2020 Data(H)'!$C$1:$CZ$428,53,FALSE)</f>
        <v>#N/A</v>
      </c>
      <c r="F152" s="303">
        <v>0</v>
      </c>
      <c r="G152" s="762">
        <f>IF(F152&lt;0,"Note: Number is normally positive.",)</f>
        <v>0</v>
      </c>
      <c r="H152" s="17"/>
      <c r="I152" s="79"/>
      <c r="Z152" s="107"/>
      <c r="AA152" s="107"/>
      <c r="AB152" s="107"/>
      <c r="AC152" s="107"/>
      <c r="AD152" s="107"/>
      <c r="AE152" s="107"/>
      <c r="AF152" s="107"/>
      <c r="AG152" s="107"/>
      <c r="AH152" s="107"/>
      <c r="AI152" s="107"/>
      <c r="AJ152" s="107"/>
      <c r="AK152" s="107"/>
      <c r="AL152" s="107"/>
      <c r="AM152" s="107"/>
      <c r="AN152" s="107"/>
      <c r="AO152" s="107"/>
      <c r="AP152" s="107"/>
      <c r="AQ152" s="107"/>
      <c r="AR152" s="107"/>
    </row>
    <row r="153" spans="1:44" ht="66.75" customHeight="1" x14ac:dyDescent="0.3">
      <c r="A153" s="107">
        <v>581</v>
      </c>
      <c r="B153" s="703" t="s">
        <v>560</v>
      </c>
      <c r="C153" s="703" t="s">
        <v>1585</v>
      </c>
      <c r="D153" s="856" t="s">
        <v>1588</v>
      </c>
      <c r="E153" s="701" t="e">
        <f>HLOOKUP($D$2,'2020 Data(H)'!$C$1:$CZ$428,231,FALSE)</f>
        <v>#N/A</v>
      </c>
      <c r="F153" s="303">
        <v>0</v>
      </c>
      <c r="G153" s="762"/>
      <c r="H153" s="17"/>
      <c r="I153" s="79"/>
      <c r="Z153" s="107"/>
      <c r="AA153" s="107"/>
      <c r="AB153" s="107"/>
      <c r="AC153" s="107"/>
      <c r="AD153" s="107"/>
      <c r="AE153" s="107"/>
      <c r="AF153" s="107"/>
      <c r="AG153" s="107"/>
      <c r="AH153" s="107"/>
      <c r="AI153" s="107"/>
      <c r="AJ153" s="107"/>
      <c r="AK153" s="107"/>
      <c r="AL153" s="107"/>
      <c r="AM153" s="107"/>
      <c r="AN153" s="107"/>
      <c r="AO153" s="107"/>
      <c r="AP153" s="107"/>
      <c r="AQ153" s="107"/>
      <c r="AR153" s="107"/>
    </row>
    <row r="154" spans="1:44" ht="67.5" customHeight="1" x14ac:dyDescent="0.3">
      <c r="A154" s="107">
        <v>511</v>
      </c>
      <c r="B154" s="4" t="s">
        <v>58</v>
      </c>
      <c r="C154" s="4" t="s">
        <v>1585</v>
      </c>
      <c r="D154" s="25" t="s">
        <v>156</v>
      </c>
      <c r="E154" s="701" t="e">
        <f>HLOOKUP($D$2,'2020 Data(H)'!$C$1:$CZ$428,161,FALSE)</f>
        <v>#N/A</v>
      </c>
      <c r="F154" s="303">
        <v>0</v>
      </c>
      <c r="G154" s="762">
        <f>IF(F154&lt;0,"Note: Number is normally positive.",)</f>
        <v>0</v>
      </c>
      <c r="H154" s="17"/>
      <c r="I154" s="79"/>
      <c r="Z154" s="107"/>
      <c r="AA154" s="107"/>
      <c r="AB154" s="107"/>
      <c r="AC154" s="107"/>
      <c r="AD154" s="107"/>
      <c r="AE154" s="107"/>
      <c r="AF154" s="107"/>
      <c r="AG154" s="107"/>
      <c r="AH154" s="107"/>
      <c r="AI154" s="107"/>
      <c r="AJ154" s="107"/>
      <c r="AK154" s="107"/>
      <c r="AL154" s="107"/>
      <c r="AM154" s="107"/>
      <c r="AN154" s="107"/>
      <c r="AO154" s="107"/>
      <c r="AP154" s="107"/>
      <c r="AQ154" s="107"/>
      <c r="AR154" s="107"/>
    </row>
    <row r="155" spans="1:44" ht="72" customHeight="1" x14ac:dyDescent="0.3">
      <c r="A155" s="316">
        <v>657</v>
      </c>
      <c r="B155" s="857" t="s">
        <v>58</v>
      </c>
      <c r="C155" s="857" t="s">
        <v>1585</v>
      </c>
      <c r="D155" s="346" t="s">
        <v>1589</v>
      </c>
      <c r="E155" s="701" t="e">
        <f>HLOOKUP($D$2,'2020 Data(H)'!$C$1:$CZ$428,310,FALSE)</f>
        <v>#N/A</v>
      </c>
      <c r="F155" s="303">
        <v>0</v>
      </c>
      <c r="G155" s="784">
        <f>IF((F151+F152+F154)&gt;F155,"Error: Please review components of current assets above.  Account numbers (90+91+511)&gt;657",)</f>
        <v>0</v>
      </c>
      <c r="H155" s="17"/>
      <c r="I155" s="79"/>
      <c r="Z155" s="316"/>
      <c r="AA155" s="316"/>
      <c r="AB155" s="316"/>
      <c r="AC155" s="316"/>
      <c r="AD155" s="316"/>
      <c r="AE155" s="316"/>
      <c r="AF155" s="316"/>
      <c r="AG155" s="316"/>
      <c r="AH155" s="316"/>
      <c r="AI155" s="316"/>
      <c r="AJ155" s="316"/>
      <c r="AK155" s="316"/>
      <c r="AL155" s="316"/>
      <c r="AM155" s="316"/>
      <c r="AN155" s="316"/>
      <c r="AO155" s="316"/>
      <c r="AP155" s="316"/>
      <c r="AQ155" s="316"/>
      <c r="AR155" s="316"/>
    </row>
    <row r="156" spans="1:44" ht="70.5" customHeight="1" x14ac:dyDescent="0.3">
      <c r="A156" s="316">
        <v>658</v>
      </c>
      <c r="B156" s="857" t="s">
        <v>58</v>
      </c>
      <c r="C156" s="857" t="s">
        <v>1585</v>
      </c>
      <c r="D156" s="318" t="s">
        <v>937</v>
      </c>
      <c r="E156" s="701" t="e">
        <f>HLOOKUP($D$2,'2020 Data(H)'!$C$1:$CZ$428,311,FALSE)</f>
        <v>#N/A</v>
      </c>
      <c r="F156" s="303">
        <v>0</v>
      </c>
      <c r="G156" s="762"/>
      <c r="H156" s="17"/>
      <c r="I156" s="79"/>
      <c r="Z156" s="316"/>
      <c r="AA156" s="316"/>
      <c r="AB156" s="316"/>
      <c r="AC156" s="316"/>
      <c r="AD156" s="316"/>
      <c r="AE156" s="316"/>
      <c r="AF156" s="316"/>
      <c r="AG156" s="316"/>
      <c r="AH156" s="316"/>
      <c r="AI156" s="316"/>
      <c r="AJ156" s="316"/>
      <c r="AK156" s="316"/>
      <c r="AL156" s="316"/>
      <c r="AM156" s="316"/>
      <c r="AN156" s="316"/>
      <c r="AO156" s="316"/>
      <c r="AP156" s="316"/>
      <c r="AQ156" s="316"/>
      <c r="AR156" s="316"/>
    </row>
    <row r="157" spans="1:44" ht="50.25" customHeight="1" x14ac:dyDescent="0.3">
      <c r="A157" s="107">
        <v>382</v>
      </c>
      <c r="B157" s="4" t="s">
        <v>60</v>
      </c>
      <c r="C157" s="4" t="s">
        <v>1585</v>
      </c>
      <c r="D157" s="105" t="s">
        <v>130</v>
      </c>
      <c r="E157" s="701" t="e">
        <f>HLOOKUP($D$2,'2020 Data(H)'!$C$1:$CZ$428,141,FALSE)</f>
        <v>#N/A</v>
      </c>
      <c r="F157" s="303">
        <v>0</v>
      </c>
      <c r="G157" s="784">
        <f>IF(F155&gt;F157,"Error: Please review components of current assets above. Account numbers 657&gt;382",)</f>
        <v>0</v>
      </c>
      <c r="H157" s="17"/>
      <c r="I157" s="79"/>
      <c r="Z157" s="107"/>
      <c r="AA157" s="107"/>
      <c r="AB157" s="107"/>
      <c r="AC157" s="107"/>
      <c r="AD157" s="107"/>
      <c r="AE157" s="107"/>
      <c r="AF157" s="107"/>
      <c r="AG157" s="107"/>
      <c r="AH157" s="107"/>
      <c r="AI157" s="107"/>
      <c r="AJ157" s="107"/>
      <c r="AK157" s="107"/>
      <c r="AL157" s="107"/>
      <c r="AM157" s="107"/>
      <c r="AN157" s="107"/>
      <c r="AO157" s="107"/>
      <c r="AP157" s="107"/>
      <c r="AQ157" s="107"/>
      <c r="AR157" s="107"/>
    </row>
    <row r="158" spans="1:44" ht="57.75" customHeight="1" x14ac:dyDescent="0.3">
      <c r="A158" s="107">
        <v>360</v>
      </c>
      <c r="B158" s="4" t="s">
        <v>56</v>
      </c>
      <c r="C158" s="4" t="s">
        <v>1585</v>
      </c>
      <c r="D158" s="106" t="s">
        <v>157</v>
      </c>
      <c r="E158" s="701" t="e">
        <f>HLOOKUP($D$2,'2020 Data(H)'!$C$1:$CZ$428,121,FALSE)</f>
        <v>#N/A</v>
      </c>
      <c r="F158" s="303">
        <v>0</v>
      </c>
      <c r="G158" s="762"/>
      <c r="H158" s="17"/>
      <c r="I158" s="79"/>
      <c r="Z158" s="107"/>
      <c r="AA158" s="107"/>
      <c r="AB158" s="107"/>
      <c r="AC158" s="107"/>
      <c r="AD158" s="107"/>
      <c r="AE158" s="107"/>
      <c r="AF158" s="107"/>
      <c r="AG158" s="107"/>
      <c r="AH158" s="107"/>
      <c r="AI158" s="107"/>
      <c r="AJ158" s="107"/>
      <c r="AK158" s="107"/>
      <c r="AL158" s="107"/>
      <c r="AM158" s="107"/>
      <c r="AN158" s="107"/>
      <c r="AO158" s="107"/>
      <c r="AP158" s="107"/>
      <c r="AQ158" s="107"/>
      <c r="AR158" s="107"/>
    </row>
    <row r="159" spans="1:44" ht="62.25" customHeight="1" x14ac:dyDescent="0.3">
      <c r="A159" s="107">
        <v>580</v>
      </c>
      <c r="B159" s="703" t="s">
        <v>560</v>
      </c>
      <c r="C159" s="703" t="s">
        <v>1585</v>
      </c>
      <c r="D159" s="856" t="s">
        <v>1590</v>
      </c>
      <c r="E159" s="701" t="e">
        <f>HLOOKUP($D$2,'2020 Data(H)'!$C$1:$CZ$428,230,FALSE)</f>
        <v>#N/A</v>
      </c>
      <c r="F159" s="303">
        <v>0</v>
      </c>
      <c r="G159" s="762"/>
      <c r="H159" s="17"/>
      <c r="I159" s="79"/>
      <c r="Z159" s="107"/>
      <c r="AA159" s="107"/>
      <c r="AB159" s="107"/>
      <c r="AC159" s="107"/>
      <c r="AD159" s="107"/>
      <c r="AE159" s="107"/>
      <c r="AF159" s="107"/>
      <c r="AG159" s="107"/>
      <c r="AH159" s="107"/>
      <c r="AI159" s="107"/>
      <c r="AJ159" s="107"/>
      <c r="AK159" s="107"/>
      <c r="AL159" s="107"/>
      <c r="AM159" s="107"/>
      <c r="AN159" s="107"/>
      <c r="AO159" s="107"/>
      <c r="AP159" s="107"/>
      <c r="AQ159" s="107"/>
      <c r="AR159" s="107"/>
    </row>
    <row r="160" spans="1:44" ht="114" customHeight="1" x14ac:dyDescent="0.3">
      <c r="A160" s="317">
        <v>639</v>
      </c>
      <c r="B160" s="857" t="s">
        <v>935</v>
      </c>
      <c r="C160" s="857" t="s">
        <v>1585</v>
      </c>
      <c r="D160" s="346" t="s">
        <v>1669</v>
      </c>
      <c r="E160" s="701" t="e">
        <f>HLOOKUP($D$2,'2020 Data(H)'!$C$1:$CZ$428,298,FALSE)</f>
        <v>#N/A</v>
      </c>
      <c r="F160" s="303">
        <v>0</v>
      </c>
      <c r="G160" s="779" t="str">
        <f>IF(F160&gt;=(F161+F162+F163+F164+F165+F166),"","Account 639 is less than the total sum of accounts 640 through 644 + 384")</f>
        <v/>
      </c>
      <c r="H160" s="785">
        <f>F160-(F161+F162+F163+F164+F165+F166)</f>
        <v>0</v>
      </c>
      <c r="I160" s="767"/>
      <c r="Z160" s="317"/>
      <c r="AA160" s="317"/>
      <c r="AB160" s="317"/>
      <c r="AC160" s="317"/>
      <c r="AD160" s="317"/>
      <c r="AE160" s="317"/>
      <c r="AF160" s="317"/>
      <c r="AG160" s="317"/>
      <c r="AH160" s="317"/>
      <c r="AI160" s="317"/>
      <c r="AJ160" s="317"/>
      <c r="AK160" s="317"/>
      <c r="AL160" s="317"/>
      <c r="AM160" s="317"/>
      <c r="AN160" s="317"/>
      <c r="AO160" s="317"/>
      <c r="AP160" s="317"/>
      <c r="AQ160" s="317"/>
      <c r="AR160" s="317"/>
    </row>
    <row r="161" spans="1:44" ht="124.5" customHeight="1" x14ac:dyDescent="0.3">
      <c r="A161" s="316">
        <v>640</v>
      </c>
      <c r="B161" s="858" t="s">
        <v>725</v>
      </c>
      <c r="C161" s="857" t="s">
        <v>1585</v>
      </c>
      <c r="D161" s="346" t="s">
        <v>1670</v>
      </c>
      <c r="E161" s="701" t="e">
        <f>HLOOKUP($D$2,'2020 Data(H)'!$C$1:$CZ$428,299,FALSE)</f>
        <v>#N/A</v>
      </c>
      <c r="F161" s="303">
        <v>0</v>
      </c>
      <c r="G161" s="784">
        <f>IF(F161&gt;F160,"Error: Please review components of current liabilities above. Account numbers 640&gt;639",)</f>
        <v>0</v>
      </c>
      <c r="H161" s="767"/>
      <c r="I161" s="785"/>
      <c r="Z161" s="316"/>
      <c r="AA161" s="316"/>
      <c r="AB161" s="316"/>
      <c r="AC161" s="316"/>
      <c r="AD161" s="316"/>
      <c r="AE161" s="316"/>
      <c r="AF161" s="316"/>
      <c r="AG161" s="316"/>
      <c r="AH161" s="316"/>
      <c r="AI161" s="316"/>
      <c r="AJ161" s="316"/>
      <c r="AK161" s="316"/>
      <c r="AL161" s="316"/>
      <c r="AM161" s="316"/>
      <c r="AN161" s="316"/>
      <c r="AO161" s="316"/>
      <c r="AP161" s="316"/>
      <c r="AQ161" s="316"/>
      <c r="AR161" s="316"/>
    </row>
    <row r="162" spans="1:44" ht="133.5" customHeight="1" x14ac:dyDescent="0.3">
      <c r="A162" s="316">
        <v>641</v>
      </c>
      <c r="B162" s="858" t="s">
        <v>725</v>
      </c>
      <c r="C162" s="857" t="s">
        <v>1585</v>
      </c>
      <c r="D162" s="346" t="s">
        <v>1671</v>
      </c>
      <c r="E162" s="701" t="e">
        <f>HLOOKUP($D$2,'2020 Data(H)'!$C$1:$CZ$428,300,FALSE)</f>
        <v>#N/A</v>
      </c>
      <c r="F162" s="303">
        <v>0</v>
      </c>
      <c r="G162" s="784">
        <f>IF(F162&gt;F160,"Error: Please review components of current liabilities above. Account numbers 641&gt;639",)</f>
        <v>0</v>
      </c>
      <c r="H162" s="767"/>
      <c r="I162" s="767"/>
      <c r="Z162" s="316"/>
      <c r="AA162" s="316"/>
      <c r="AB162" s="316"/>
      <c r="AC162" s="316"/>
      <c r="AD162" s="316"/>
      <c r="AE162" s="316"/>
      <c r="AF162" s="316"/>
      <c r="AG162" s="316"/>
      <c r="AH162" s="316"/>
      <c r="AI162" s="316"/>
      <c r="AJ162" s="316"/>
      <c r="AK162" s="316"/>
      <c r="AL162" s="316"/>
      <c r="AM162" s="316"/>
      <c r="AN162" s="316"/>
      <c r="AO162" s="316"/>
      <c r="AP162" s="316"/>
      <c r="AQ162" s="316"/>
      <c r="AR162" s="316"/>
    </row>
    <row r="163" spans="1:44" ht="118.5" customHeight="1" x14ac:dyDescent="0.3">
      <c r="A163" s="316">
        <v>642</v>
      </c>
      <c r="B163" s="858" t="s">
        <v>725</v>
      </c>
      <c r="C163" s="857" t="s">
        <v>1585</v>
      </c>
      <c r="D163" s="346" t="s">
        <v>1672</v>
      </c>
      <c r="E163" s="701" t="e">
        <f>HLOOKUP($D$2,'2020 Data(H)'!$C$1:$CZ$428,301,FALSE)</f>
        <v>#N/A</v>
      </c>
      <c r="F163" s="303">
        <v>0</v>
      </c>
      <c r="G163" s="784">
        <f>IF(F163&gt;F160,"Error: Please review components of current liabilities above. Account numbers  642&gt;639",)</f>
        <v>0</v>
      </c>
      <c r="H163" s="767"/>
      <c r="I163" s="767"/>
      <c r="Z163" s="316"/>
      <c r="AA163" s="316"/>
      <c r="AB163" s="316"/>
      <c r="AC163" s="316"/>
      <c r="AD163" s="316"/>
      <c r="AE163" s="316"/>
      <c r="AF163" s="316"/>
      <c r="AG163" s="316"/>
      <c r="AH163" s="316"/>
      <c r="AI163" s="316"/>
      <c r="AJ163" s="316"/>
      <c r="AK163" s="316"/>
      <c r="AL163" s="316"/>
      <c r="AM163" s="316"/>
      <c r="AN163" s="316"/>
      <c r="AO163" s="316"/>
      <c r="AP163" s="316"/>
      <c r="AQ163" s="316"/>
      <c r="AR163" s="316"/>
    </row>
    <row r="164" spans="1:44" ht="81.75" customHeight="1" x14ac:dyDescent="0.3">
      <c r="A164" s="316">
        <v>643</v>
      </c>
      <c r="B164" s="858" t="s">
        <v>725</v>
      </c>
      <c r="C164" s="857" t="s">
        <v>1585</v>
      </c>
      <c r="D164" s="346" t="s">
        <v>1673</v>
      </c>
      <c r="E164" s="701" t="e">
        <f>HLOOKUP($D$2,'2020 Data(H)'!$C$1:$CZ$428,302,FALSE)</f>
        <v>#N/A</v>
      </c>
      <c r="F164" s="303">
        <v>0</v>
      </c>
      <c r="G164" s="784">
        <f>IF(F164&gt;F160,"Error: Please review components of current liabilities above. Account numbers 643&gt;639",)</f>
        <v>0</v>
      </c>
      <c r="H164" s="767"/>
      <c r="I164" s="767"/>
      <c r="Z164" s="316"/>
      <c r="AA164" s="316"/>
      <c r="AB164" s="316"/>
      <c r="AC164" s="316"/>
      <c r="AD164" s="316"/>
      <c r="AE164" s="316"/>
      <c r="AF164" s="316"/>
      <c r="AG164" s="316"/>
      <c r="AH164" s="316"/>
      <c r="AI164" s="316"/>
      <c r="AJ164" s="316"/>
      <c r="AK164" s="316"/>
      <c r="AL164" s="316"/>
      <c r="AM164" s="316"/>
      <c r="AN164" s="316"/>
      <c r="AO164" s="316"/>
      <c r="AP164" s="316"/>
      <c r="AQ164" s="316"/>
      <c r="AR164" s="316"/>
    </row>
    <row r="165" spans="1:44" ht="108" customHeight="1" x14ac:dyDescent="0.3">
      <c r="A165" s="316">
        <v>644</v>
      </c>
      <c r="B165" s="858" t="s">
        <v>725</v>
      </c>
      <c r="C165" s="857" t="s">
        <v>1585</v>
      </c>
      <c r="D165" s="346" t="s">
        <v>1674</v>
      </c>
      <c r="E165" s="701" t="e">
        <f>HLOOKUP($D$2,'2020 Data(H)'!$C$1:$CZ$428,303,FALSE)</f>
        <v>#N/A</v>
      </c>
      <c r="F165" s="303">
        <v>0</v>
      </c>
      <c r="G165" s="784">
        <f>IF(F165&gt;F160,"Error: Please review components of current liabilities above. Account number 644&gt;639",)</f>
        <v>0</v>
      </c>
      <c r="H165" s="767"/>
      <c r="I165" s="767"/>
      <c r="Z165" s="316"/>
      <c r="AA165" s="316"/>
      <c r="AB165" s="316"/>
      <c r="AC165" s="316"/>
      <c r="AD165" s="316"/>
      <c r="AE165" s="316"/>
      <c r="AF165" s="316"/>
      <c r="AG165" s="316"/>
      <c r="AH165" s="316"/>
      <c r="AI165" s="316"/>
      <c r="AJ165" s="316"/>
      <c r="AK165" s="316"/>
      <c r="AL165" s="316"/>
      <c r="AM165" s="316"/>
      <c r="AN165" s="316"/>
      <c r="AO165" s="316"/>
      <c r="AP165" s="316"/>
      <c r="AQ165" s="316"/>
      <c r="AR165" s="316"/>
    </row>
    <row r="166" spans="1:44" ht="99.75" customHeight="1" x14ac:dyDescent="0.3">
      <c r="A166" s="107">
        <v>384</v>
      </c>
      <c r="B166" s="4" t="s">
        <v>63</v>
      </c>
      <c r="C166" s="4" t="s">
        <v>1585</v>
      </c>
      <c r="D166" s="29" t="s">
        <v>1675</v>
      </c>
      <c r="E166" s="701" t="e">
        <f>HLOOKUP($D$2,'2020 Data(H)'!$C$1:$CZ$428,143,FALSE)</f>
        <v>#N/A</v>
      </c>
      <c r="F166" s="770">
        <v>0</v>
      </c>
      <c r="G166" s="781">
        <f>IF(F166&gt;F160,"Error: Please review components of current liabilities above. Account number 384&gt;639",)</f>
        <v>0</v>
      </c>
      <c r="I166" s="79"/>
      <c r="Z166" s="107"/>
      <c r="AA166" s="107"/>
      <c r="AB166" s="107"/>
      <c r="AC166" s="107"/>
      <c r="AD166" s="107"/>
      <c r="AE166" s="107"/>
      <c r="AF166" s="107"/>
      <c r="AG166" s="107"/>
      <c r="AH166" s="107"/>
      <c r="AI166" s="107"/>
      <c r="AJ166" s="107"/>
      <c r="AK166" s="107"/>
      <c r="AL166" s="107"/>
      <c r="AM166" s="107"/>
      <c r="AN166" s="107"/>
      <c r="AO166" s="107"/>
      <c r="AP166" s="107"/>
      <c r="AQ166" s="107"/>
      <c r="AR166" s="107"/>
    </row>
    <row r="167" spans="1:44" ht="104.25" customHeight="1" x14ac:dyDescent="0.3">
      <c r="A167" s="107">
        <v>361</v>
      </c>
      <c r="B167" s="4" t="s">
        <v>56</v>
      </c>
      <c r="C167" s="4" t="s">
        <v>1585</v>
      </c>
      <c r="D167" s="740" t="s">
        <v>1591</v>
      </c>
      <c r="E167" s="701" t="e">
        <f>HLOOKUP($D$2,'2020 Data(H)'!$C$1:$CZ$428,122,FALSE)</f>
        <v>#N/A</v>
      </c>
      <c r="F167" s="303">
        <v>0</v>
      </c>
      <c r="G167" s="772"/>
      <c r="H167" s="17"/>
      <c r="I167" s="79"/>
      <c r="Z167" s="107"/>
      <c r="AA167" s="107"/>
      <c r="AB167" s="107"/>
      <c r="AC167" s="107"/>
      <c r="AD167" s="107"/>
      <c r="AE167" s="107"/>
      <c r="AF167" s="107"/>
      <c r="AG167" s="107"/>
      <c r="AH167" s="107"/>
      <c r="AI167" s="107"/>
      <c r="AJ167" s="107"/>
      <c r="AK167" s="107"/>
      <c r="AL167" s="107"/>
      <c r="AM167" s="107"/>
      <c r="AN167" s="107"/>
      <c r="AO167" s="107"/>
      <c r="AP167" s="107"/>
      <c r="AQ167" s="107"/>
      <c r="AR167" s="107"/>
    </row>
    <row r="168" spans="1:44" ht="54" customHeight="1" x14ac:dyDescent="0.3">
      <c r="A168" s="107">
        <v>362</v>
      </c>
      <c r="B168" s="4" t="s">
        <v>56</v>
      </c>
      <c r="C168" s="4" t="s">
        <v>1585</v>
      </c>
      <c r="D168" s="106" t="s">
        <v>158</v>
      </c>
      <c r="E168" s="701" t="e">
        <f>HLOOKUP($D$2,'2020 Data(H)'!$C$1:$CZ$428,123,FALSE)</f>
        <v>#N/A</v>
      </c>
      <c r="F168" s="303">
        <v>0</v>
      </c>
      <c r="G168" s="762">
        <f>IF(H168=0,,"Error: Total assets less total liabilities do not equal total net position. Account numbers 382-360-362=0  The amount of the formula is in the cell to the right")</f>
        <v>0</v>
      </c>
      <c r="H168" s="765">
        <f>F157-F158-F168</f>
        <v>0</v>
      </c>
      <c r="I168" s="79"/>
      <c r="Z168" s="107"/>
      <c r="AA168" s="107"/>
      <c r="AB168" s="107"/>
      <c r="AC168" s="107"/>
      <c r="AD168" s="107"/>
      <c r="AE168" s="107"/>
      <c r="AF168" s="107"/>
      <c r="AG168" s="107"/>
      <c r="AH168" s="107"/>
      <c r="AI168" s="107"/>
      <c r="AJ168" s="107"/>
      <c r="AK168" s="107"/>
      <c r="AL168" s="107"/>
      <c r="AM168" s="107"/>
      <c r="AN168" s="107"/>
      <c r="AO168" s="107"/>
      <c r="AP168" s="107"/>
      <c r="AQ168" s="107"/>
      <c r="AR168" s="107"/>
    </row>
    <row r="169" spans="1:44" ht="26.25" customHeight="1" x14ac:dyDescent="0.3">
      <c r="A169" s="107"/>
      <c r="B169" s="886" t="s">
        <v>182</v>
      </c>
      <c r="C169" s="887"/>
      <c r="D169" s="899"/>
      <c r="E169" s="880"/>
      <c r="F169" s="885"/>
      <c r="G169" s="885"/>
      <c r="H169" s="17"/>
      <c r="I169" s="79"/>
      <c r="Z169" s="107"/>
      <c r="AA169" s="107"/>
      <c r="AB169" s="107"/>
      <c r="AC169" s="107"/>
      <c r="AD169" s="107"/>
      <c r="AE169" s="107"/>
      <c r="AF169" s="107"/>
      <c r="AG169" s="107"/>
      <c r="AH169" s="107"/>
      <c r="AI169" s="107"/>
      <c r="AJ169" s="107"/>
      <c r="AK169" s="107"/>
      <c r="AL169" s="107"/>
      <c r="AM169" s="107"/>
      <c r="AN169" s="107"/>
      <c r="AO169" s="107"/>
      <c r="AP169" s="107"/>
      <c r="AQ169" s="107"/>
      <c r="AR169" s="107"/>
    </row>
    <row r="170" spans="1:44" s="18" customFormat="1" ht="99.75" customHeight="1" x14ac:dyDescent="0.3">
      <c r="A170" s="107"/>
      <c r="B170" s="1279" t="s">
        <v>1695</v>
      </c>
      <c r="C170" s="1279"/>
      <c r="D170" s="1279"/>
      <c r="E170" s="873"/>
      <c r="F170" s="894"/>
      <c r="G170" s="894"/>
      <c r="H170" s="17"/>
      <c r="I170" s="79"/>
      <c r="N170" s="304"/>
      <c r="Z170" s="107"/>
      <c r="AA170" s="107"/>
      <c r="AB170" s="107"/>
      <c r="AC170" s="107"/>
      <c r="AD170" s="107"/>
      <c r="AE170" s="107"/>
      <c r="AF170" s="107"/>
      <c r="AG170" s="107"/>
      <c r="AH170" s="107"/>
      <c r="AI170" s="107"/>
      <c r="AJ170" s="107"/>
      <c r="AK170" s="107"/>
      <c r="AL170" s="107"/>
      <c r="AM170" s="107"/>
      <c r="AN170" s="107"/>
      <c r="AO170" s="107"/>
      <c r="AP170" s="107"/>
      <c r="AQ170" s="107"/>
      <c r="AR170" s="107"/>
    </row>
    <row r="171" spans="1:44" ht="87" customHeight="1" x14ac:dyDescent="0.3">
      <c r="A171" s="107">
        <v>88</v>
      </c>
      <c r="B171" s="4" t="s">
        <v>61</v>
      </c>
      <c r="C171" s="4" t="s">
        <v>1592</v>
      </c>
      <c r="D171" s="24" t="s">
        <v>1593</v>
      </c>
      <c r="E171" s="701" t="e">
        <f>HLOOKUP($D$2,'2020 Data(H)'!$C$1:$CZ$428,50,FALSE)</f>
        <v>#N/A</v>
      </c>
      <c r="F171" s="303">
        <v>0</v>
      </c>
      <c r="G171" s="772"/>
      <c r="H171" s="17"/>
      <c r="I171" s="79"/>
      <c r="Z171" s="107"/>
      <c r="AA171" s="107"/>
      <c r="AB171" s="107"/>
      <c r="AC171" s="107"/>
      <c r="AD171" s="107"/>
      <c r="AE171" s="107"/>
      <c r="AF171" s="107"/>
      <c r="AG171" s="107"/>
      <c r="AH171" s="107"/>
      <c r="AI171" s="107"/>
      <c r="AJ171" s="107"/>
      <c r="AK171" s="107"/>
      <c r="AL171" s="107"/>
      <c r="AM171" s="107"/>
      <c r="AN171" s="107"/>
      <c r="AO171" s="107"/>
      <c r="AP171" s="107"/>
      <c r="AQ171" s="107"/>
      <c r="AR171" s="107"/>
    </row>
    <row r="172" spans="1:44" ht="94.5" customHeight="1" x14ac:dyDescent="0.3">
      <c r="A172" s="107">
        <v>84</v>
      </c>
      <c r="B172" s="4" t="s">
        <v>61</v>
      </c>
      <c r="C172" s="4" t="s">
        <v>1592</v>
      </c>
      <c r="D172" s="29" t="s">
        <v>159</v>
      </c>
      <c r="E172" s="701" t="e">
        <f>HLOOKUP($D$2,'2020 Data(H)'!$C$1:$CZ$428,48,FALSE)</f>
        <v>#N/A</v>
      </c>
      <c r="F172" s="303">
        <v>0</v>
      </c>
      <c r="G172" s="762">
        <f>IF(F172&gt;=F171,,"Error: Charges for services exceed total operating revenues. Account numbers 84&gt;=88")</f>
        <v>0</v>
      </c>
      <c r="H172" s="17"/>
      <c r="I172" s="79"/>
      <c r="Z172" s="107"/>
      <c r="AA172" s="107"/>
      <c r="AB172" s="107"/>
      <c r="AC172" s="107"/>
      <c r="AD172" s="107"/>
      <c r="AE172" s="107"/>
      <c r="AF172" s="107"/>
      <c r="AG172" s="107"/>
      <c r="AH172" s="107"/>
      <c r="AI172" s="107"/>
      <c r="AJ172" s="107"/>
      <c r="AK172" s="107"/>
      <c r="AL172" s="107"/>
      <c r="AM172" s="107"/>
      <c r="AN172" s="107"/>
      <c r="AO172" s="107"/>
      <c r="AP172" s="107"/>
      <c r="AQ172" s="107"/>
      <c r="AR172" s="107"/>
    </row>
    <row r="173" spans="1:44" ht="90" customHeight="1" x14ac:dyDescent="0.3">
      <c r="A173" s="107">
        <v>49</v>
      </c>
      <c r="B173" s="4" t="s">
        <v>57</v>
      </c>
      <c r="C173" s="4" t="s">
        <v>1592</v>
      </c>
      <c r="D173" s="29" t="s">
        <v>160</v>
      </c>
      <c r="E173" s="701" t="e">
        <f>HLOOKUP($D$2,'2020 Data(H)'!$C$1:$CZ$428,36,FALSE)</f>
        <v>#N/A</v>
      </c>
      <c r="F173" s="303">
        <v>0</v>
      </c>
      <c r="G173" s="762">
        <f>IF(F173&lt;0,"Error: Enter as positive.",)</f>
        <v>0</v>
      </c>
      <c r="H173" s="17"/>
      <c r="I173" s="79"/>
      <c r="Z173" s="107"/>
      <c r="AA173" s="107"/>
      <c r="AB173" s="107"/>
      <c r="AC173" s="107"/>
      <c r="AD173" s="107"/>
      <c r="AE173" s="107"/>
      <c r="AF173" s="107"/>
      <c r="AG173" s="107"/>
      <c r="AH173" s="107"/>
      <c r="AI173" s="107"/>
      <c r="AJ173" s="107"/>
      <c r="AK173" s="107"/>
      <c r="AL173" s="107"/>
      <c r="AM173" s="107"/>
      <c r="AN173" s="107"/>
      <c r="AO173" s="107"/>
      <c r="AP173" s="107"/>
      <c r="AQ173" s="107"/>
      <c r="AR173" s="107"/>
    </row>
    <row r="174" spans="1:44" ht="106.5" customHeight="1" x14ac:dyDescent="0.3">
      <c r="A174" s="107">
        <v>85</v>
      </c>
      <c r="B174" s="4" t="s">
        <v>68</v>
      </c>
      <c r="C174" s="4" t="s">
        <v>1592</v>
      </c>
      <c r="D174" s="29" t="s">
        <v>161</v>
      </c>
      <c r="E174" s="701" t="e">
        <f>HLOOKUP($D$2,'2020 Data(H)'!$C$1:$CZ$428,49,FALSE)</f>
        <v>#N/A</v>
      </c>
      <c r="F174" s="303">
        <v>0</v>
      </c>
      <c r="G174" s="762">
        <f>IF(F174&lt;0,"Error: Enter as positive.",)</f>
        <v>0</v>
      </c>
      <c r="H174" s="17"/>
      <c r="I174" s="79"/>
      <c r="Z174" s="107"/>
      <c r="AA174" s="107"/>
      <c r="AB174" s="107"/>
      <c r="AC174" s="107"/>
      <c r="AD174" s="107"/>
      <c r="AE174" s="107"/>
      <c r="AF174" s="107"/>
      <c r="AG174" s="107"/>
      <c r="AH174" s="107"/>
      <c r="AI174" s="107"/>
      <c r="AJ174" s="107"/>
      <c r="AK174" s="107"/>
      <c r="AL174" s="107"/>
      <c r="AM174" s="107"/>
      <c r="AN174" s="107"/>
      <c r="AO174" s="107"/>
      <c r="AP174" s="107"/>
      <c r="AQ174" s="107"/>
      <c r="AR174" s="107"/>
    </row>
    <row r="175" spans="1:44" ht="88.5" customHeight="1" x14ac:dyDescent="0.3">
      <c r="A175" s="107">
        <v>89</v>
      </c>
      <c r="B175" s="4" t="s">
        <v>56</v>
      </c>
      <c r="C175" s="4" t="s">
        <v>1592</v>
      </c>
      <c r="D175" s="29" t="s">
        <v>162</v>
      </c>
      <c r="E175" s="701" t="e">
        <f>HLOOKUP($D$2,'2020 Data(H)'!$C$1:$CZ$428,51,FALSE)</f>
        <v>#N/A</v>
      </c>
      <c r="F175" s="303">
        <v>0</v>
      </c>
      <c r="G175" s="762">
        <f>IF(F175&lt;0,"Error: Enter as positive.",)</f>
        <v>0</v>
      </c>
      <c r="H175" s="17"/>
      <c r="I175" s="79"/>
      <c r="Z175" s="107"/>
      <c r="AA175" s="107"/>
      <c r="AB175" s="107"/>
      <c r="AC175" s="107"/>
      <c r="AD175" s="107"/>
      <c r="AE175" s="107"/>
      <c r="AF175" s="107"/>
      <c r="AG175" s="107"/>
      <c r="AH175" s="107"/>
      <c r="AI175" s="107"/>
      <c r="AJ175" s="107"/>
      <c r="AK175" s="107"/>
      <c r="AL175" s="107"/>
      <c r="AM175" s="107"/>
      <c r="AN175" s="107"/>
      <c r="AO175" s="107"/>
      <c r="AP175" s="107"/>
      <c r="AQ175" s="107"/>
      <c r="AR175" s="107"/>
    </row>
    <row r="176" spans="1:44" ht="100.5" customHeight="1" x14ac:dyDescent="0.3">
      <c r="A176" s="107">
        <v>350</v>
      </c>
      <c r="B176" s="4" t="s">
        <v>56</v>
      </c>
      <c r="C176" s="4" t="s">
        <v>1592</v>
      </c>
      <c r="D176" s="24" t="s">
        <v>1594</v>
      </c>
      <c r="E176" s="701" t="e">
        <f>HLOOKUP($D$2,'2020 Data(H)'!$C$1:$CZ$428,114,FALSE)</f>
        <v>#N/A</v>
      </c>
      <c r="F176" s="303">
        <v>0</v>
      </c>
      <c r="G176" s="772"/>
      <c r="H176" s="17"/>
      <c r="I176" s="79"/>
      <c r="Z176" s="107"/>
      <c r="AA176" s="107"/>
      <c r="AB176" s="107"/>
      <c r="AC176" s="107"/>
      <c r="AD176" s="107"/>
      <c r="AE176" s="107"/>
      <c r="AF176" s="107"/>
      <c r="AG176" s="107"/>
      <c r="AH176" s="107"/>
      <c r="AI176" s="107"/>
      <c r="AJ176" s="107"/>
      <c r="AK176" s="107"/>
      <c r="AL176" s="107"/>
      <c r="AM176" s="107"/>
      <c r="AN176" s="107"/>
      <c r="AO176" s="107"/>
      <c r="AP176" s="107"/>
      <c r="AQ176" s="107"/>
      <c r="AR176" s="107"/>
    </row>
    <row r="177" spans="1:44" ht="66" customHeight="1" x14ac:dyDescent="0.3">
      <c r="A177" s="107">
        <v>351</v>
      </c>
      <c r="B177" s="4" t="s">
        <v>56</v>
      </c>
      <c r="C177" s="4" t="s">
        <v>1592</v>
      </c>
      <c r="D177" s="24" t="s">
        <v>1595</v>
      </c>
      <c r="E177" s="701" t="e">
        <f>HLOOKUP($D$2,'2020 Data(H)'!$C$1:$CZ$428,115,FALSE)</f>
        <v>#N/A</v>
      </c>
      <c r="F177" s="303">
        <v>0</v>
      </c>
      <c r="G177" s="762">
        <f>IF(F177&lt;0,"Error: Enter as positive.",)</f>
        <v>0</v>
      </c>
      <c r="H177" s="17"/>
      <c r="I177" s="79"/>
      <c r="Z177" s="107"/>
      <c r="AA177" s="107"/>
      <c r="AB177" s="107"/>
      <c r="AC177" s="107"/>
      <c r="AD177" s="107"/>
      <c r="AE177" s="107"/>
      <c r="AF177" s="107"/>
      <c r="AG177" s="107"/>
      <c r="AH177" s="107"/>
      <c r="AI177" s="107"/>
      <c r="AJ177" s="107"/>
      <c r="AK177" s="107"/>
      <c r="AL177" s="107"/>
      <c r="AM177" s="107"/>
      <c r="AN177" s="107"/>
      <c r="AO177" s="107"/>
      <c r="AP177" s="107"/>
      <c r="AQ177" s="107"/>
      <c r="AR177" s="107"/>
    </row>
    <row r="178" spans="1:44" ht="93.75" customHeight="1" x14ac:dyDescent="0.3">
      <c r="A178" s="107">
        <v>191</v>
      </c>
      <c r="B178" s="4" t="s">
        <v>57</v>
      </c>
      <c r="C178" s="4" t="s">
        <v>1592</v>
      </c>
      <c r="D178" s="24" t="s">
        <v>1596</v>
      </c>
      <c r="E178" s="701" t="e">
        <f>HLOOKUP($D$2,'2020 Data(H)'!$C$1:$CZ$428,72,FALSE)</f>
        <v>#N/A</v>
      </c>
      <c r="F178" s="303">
        <v>0</v>
      </c>
      <c r="G178" s="762">
        <f>IF(F178&lt;0,"Error: Enter as positive.",)</f>
        <v>0</v>
      </c>
      <c r="H178" s="17"/>
      <c r="I178" s="79"/>
      <c r="Z178" s="107"/>
      <c r="AA178" s="107"/>
      <c r="AB178" s="107"/>
      <c r="AC178" s="107"/>
      <c r="AD178" s="107"/>
      <c r="AE178" s="107"/>
      <c r="AF178" s="107"/>
      <c r="AG178" s="107"/>
      <c r="AH178" s="107"/>
      <c r="AI178" s="107"/>
      <c r="AJ178" s="107"/>
      <c r="AK178" s="107"/>
      <c r="AL178" s="107"/>
      <c r="AM178" s="107"/>
      <c r="AN178" s="107"/>
      <c r="AO178" s="107"/>
      <c r="AP178" s="107"/>
      <c r="AQ178" s="107"/>
      <c r="AR178" s="107"/>
    </row>
    <row r="179" spans="1:44" ht="98.25" customHeight="1" x14ac:dyDescent="0.3">
      <c r="A179" s="107">
        <v>352</v>
      </c>
      <c r="B179" s="4" t="s">
        <v>68</v>
      </c>
      <c r="C179" s="4" t="s">
        <v>1592</v>
      </c>
      <c r="D179" s="29" t="s">
        <v>1426</v>
      </c>
      <c r="E179" s="701" t="e">
        <f>HLOOKUP($D$2,'2020 Data(H)'!$C$1:$CZ$428,116,FALSE)</f>
        <v>#N/A</v>
      </c>
      <c r="F179" s="303">
        <v>0</v>
      </c>
      <c r="G179" s="762">
        <f>IF(F179&lt;0,"Error: Enter as positive.",)</f>
        <v>0</v>
      </c>
      <c r="H179" s="741"/>
      <c r="I179" s="17"/>
      <c r="Z179" s="107"/>
      <c r="AA179" s="107"/>
      <c r="AB179" s="107"/>
      <c r="AC179" s="107"/>
      <c r="AD179" s="107"/>
      <c r="AE179" s="107"/>
      <c r="AF179" s="107"/>
      <c r="AG179" s="107"/>
      <c r="AH179" s="107"/>
      <c r="AI179" s="107"/>
      <c r="AJ179" s="107"/>
      <c r="AK179" s="107"/>
      <c r="AL179" s="107"/>
      <c r="AM179" s="107"/>
      <c r="AN179" s="107"/>
      <c r="AO179" s="107"/>
      <c r="AP179" s="107"/>
      <c r="AQ179" s="107"/>
      <c r="AR179" s="107"/>
    </row>
    <row r="180" spans="1:44" ht="91.5" customHeight="1" x14ac:dyDescent="0.3">
      <c r="A180" s="107">
        <v>986</v>
      </c>
      <c r="B180" s="861" t="s">
        <v>1132</v>
      </c>
      <c r="C180" s="861" t="s">
        <v>1592</v>
      </c>
      <c r="D180" s="320" t="s">
        <v>1166</v>
      </c>
      <c r="E180" s="701" t="s">
        <v>1133</v>
      </c>
      <c r="F180" s="303">
        <v>0</v>
      </c>
      <c r="G180" s="762">
        <f>IF(F180&lt;0,"Error: Enter as positive.",)</f>
        <v>0</v>
      </c>
      <c r="H180" s="17"/>
      <c r="I180" s="79"/>
      <c r="Z180" s="107"/>
      <c r="AA180" s="107"/>
      <c r="AB180" s="107"/>
      <c r="AC180" s="107"/>
      <c r="AD180" s="107"/>
      <c r="AE180" s="107"/>
      <c r="AF180" s="107"/>
      <c r="AG180" s="107"/>
      <c r="AH180" s="107"/>
      <c r="AI180" s="107"/>
      <c r="AJ180" s="107"/>
      <c r="AK180" s="107"/>
      <c r="AL180" s="107"/>
      <c r="AM180" s="107"/>
      <c r="AN180" s="107"/>
      <c r="AO180" s="107"/>
      <c r="AP180" s="107"/>
      <c r="AQ180" s="107"/>
      <c r="AR180" s="107"/>
    </row>
    <row r="181" spans="1:44" ht="90" customHeight="1" x14ac:dyDescent="0.3">
      <c r="A181" s="107">
        <v>353</v>
      </c>
      <c r="B181" s="4" t="s">
        <v>68</v>
      </c>
      <c r="C181" s="4" t="s">
        <v>1592</v>
      </c>
      <c r="D181" s="29" t="s">
        <v>143</v>
      </c>
      <c r="E181" s="701" t="e">
        <f>HLOOKUP($D$2,'2020 Data(H)'!$C$1:$CZ$428,117,FALSE)</f>
        <v>#N/A</v>
      </c>
      <c r="F181" s="303">
        <v>0</v>
      </c>
      <c r="G181" s="762">
        <f>IF(F181&lt;0,"Error: Enter as positive.",)</f>
        <v>0</v>
      </c>
      <c r="H181" s="17"/>
      <c r="I181" s="79"/>
      <c r="Z181" s="107"/>
      <c r="AA181" s="107"/>
      <c r="AB181" s="107"/>
      <c r="AC181" s="107"/>
      <c r="AD181" s="107"/>
      <c r="AE181" s="107"/>
      <c r="AF181" s="107"/>
      <c r="AG181" s="107"/>
      <c r="AH181" s="107"/>
      <c r="AI181" s="107"/>
      <c r="AJ181" s="107"/>
      <c r="AK181" s="107"/>
      <c r="AL181" s="107"/>
      <c r="AM181" s="107"/>
      <c r="AN181" s="107"/>
      <c r="AO181" s="107"/>
      <c r="AP181" s="107"/>
      <c r="AQ181" s="107"/>
      <c r="AR181" s="107"/>
    </row>
    <row r="182" spans="1:44" ht="102.75" customHeight="1" x14ac:dyDescent="0.3">
      <c r="A182" s="107">
        <v>50</v>
      </c>
      <c r="B182" s="4" t="s">
        <v>64</v>
      </c>
      <c r="C182" s="4" t="s">
        <v>1592</v>
      </c>
      <c r="D182" s="740" t="s">
        <v>1597</v>
      </c>
      <c r="E182" s="701" t="e">
        <f>HLOOKUP($D$2,'2020 Data(H)'!$C$1:$CZ$428,37,FALSE)</f>
        <v>#N/A</v>
      </c>
      <c r="F182" s="301">
        <v>0</v>
      </c>
      <c r="G182" s="762">
        <f>IF(H182=0,,"Error: Total revenues less total expenses do not equal total change in net position. Account number 84-85+350-351+191+352-353-50=0  The amount of the formula is in the cell to the right")</f>
        <v>0</v>
      </c>
      <c r="H182" s="765">
        <f>F172-F174+F176-F177+F178+F179-F181-F182</f>
        <v>0</v>
      </c>
      <c r="I182" s="79"/>
      <c r="Z182" s="107"/>
      <c r="AA182" s="107"/>
      <c r="AB182" s="107"/>
      <c r="AC182" s="107"/>
      <c r="AD182" s="107"/>
      <c r="AE182" s="107"/>
      <c r="AF182" s="107"/>
      <c r="AG182" s="107"/>
      <c r="AH182" s="107"/>
      <c r="AI182" s="107"/>
      <c r="AJ182" s="107"/>
      <c r="AK182" s="107"/>
      <c r="AL182" s="107"/>
      <c r="AM182" s="107"/>
      <c r="AN182" s="107"/>
      <c r="AO182" s="107"/>
      <c r="AP182" s="107"/>
      <c r="AQ182" s="107"/>
      <c r="AR182" s="107"/>
    </row>
    <row r="183" spans="1:44" ht="121.5" customHeight="1" x14ac:dyDescent="0.3">
      <c r="A183" s="107">
        <v>377</v>
      </c>
      <c r="B183" s="4" t="s">
        <v>68</v>
      </c>
      <c r="C183" s="4" t="s">
        <v>1592</v>
      </c>
      <c r="D183" s="740" t="s">
        <v>1598</v>
      </c>
      <c r="E183" s="701" t="e">
        <f>HLOOKUP($D$2,'2020 Data(H)'!$C$1:$CZ$428,136,FALSE)</f>
        <v>#N/A</v>
      </c>
      <c r="F183" s="301">
        <v>0</v>
      </c>
      <c r="G183" s="762" t="e">
        <f>IF(F149-F182-F183=E149,,"Error: Beginning Balance does not agree with our records.  Acct #s (83-50-377)=prior year 83 The amount of the formula is in the cell to the right")</f>
        <v>#N/A</v>
      </c>
      <c r="H183" s="765" t="e">
        <f>+F149-F182-F183-E149</f>
        <v>#N/A</v>
      </c>
      <c r="I183" s="1263" t="s">
        <v>1852</v>
      </c>
      <c r="Z183" s="107"/>
      <c r="AA183" s="107"/>
      <c r="AB183" s="107"/>
      <c r="AC183" s="107"/>
      <c r="AD183" s="107"/>
      <c r="AE183" s="107"/>
      <c r="AF183" s="107"/>
      <c r="AG183" s="107"/>
      <c r="AH183" s="107"/>
      <c r="AI183" s="107"/>
      <c r="AJ183" s="107"/>
      <c r="AK183" s="107"/>
      <c r="AL183" s="107"/>
      <c r="AM183" s="107"/>
      <c r="AN183" s="107"/>
      <c r="AO183" s="107"/>
      <c r="AP183" s="107"/>
      <c r="AQ183" s="107"/>
      <c r="AR183" s="107"/>
    </row>
    <row r="184" spans="1:44" ht="97.5" customHeight="1" x14ac:dyDescent="0.3">
      <c r="A184" s="107">
        <v>537</v>
      </c>
      <c r="B184" s="703" t="s">
        <v>59</v>
      </c>
      <c r="C184" s="703" t="s">
        <v>1592</v>
      </c>
      <c r="D184" s="700" t="s">
        <v>1599</v>
      </c>
      <c r="E184" s="59" t="e">
        <f>HLOOKUP($D$2,'2020 Data(H)'!$C$1:$CZ$428,250,FALSE)</f>
        <v>#N/A</v>
      </c>
      <c r="F184" s="303"/>
      <c r="G184" s="762"/>
      <c r="H184" s="763"/>
      <c r="I184" s="764"/>
      <c r="Z184" s="107"/>
      <c r="AA184" s="107"/>
      <c r="AB184" s="107"/>
      <c r="AC184" s="107"/>
      <c r="AD184" s="107"/>
      <c r="AE184" s="107"/>
      <c r="AF184" s="107"/>
      <c r="AG184" s="107"/>
      <c r="AH184" s="107"/>
      <c r="AI184" s="107"/>
      <c r="AJ184" s="107"/>
      <c r="AK184" s="107"/>
      <c r="AL184" s="107"/>
      <c r="AM184" s="107"/>
      <c r="AN184" s="107"/>
      <c r="AO184" s="107"/>
      <c r="AP184" s="107"/>
      <c r="AQ184" s="107"/>
      <c r="AR184" s="107"/>
    </row>
    <row r="185" spans="1:44" ht="96.75" customHeight="1" x14ac:dyDescent="0.3">
      <c r="A185" s="107">
        <v>538</v>
      </c>
      <c r="B185" s="703" t="s">
        <v>59</v>
      </c>
      <c r="C185" s="703" t="s">
        <v>1592</v>
      </c>
      <c r="D185" s="700" t="s">
        <v>1600</v>
      </c>
      <c r="E185" s="701" t="e">
        <f>HLOOKUP($D$2,'2020 Data(H)'!$C$1:$CZ$428,251,FALSE)</f>
        <v>#N/A</v>
      </c>
      <c r="F185" s="303"/>
      <c r="G185" s="762"/>
      <c r="H185" s="763"/>
      <c r="I185" s="764"/>
      <c r="Z185" s="107"/>
      <c r="AA185" s="107"/>
      <c r="AB185" s="107"/>
      <c r="AC185" s="107"/>
      <c r="AD185" s="107"/>
      <c r="AE185" s="107"/>
      <c r="AF185" s="107"/>
      <c r="AG185" s="107"/>
      <c r="AH185" s="107"/>
      <c r="AI185" s="107"/>
      <c r="AJ185" s="107"/>
      <c r="AK185" s="107"/>
      <c r="AL185" s="107"/>
      <c r="AM185" s="107"/>
      <c r="AN185" s="107"/>
      <c r="AO185" s="107"/>
      <c r="AP185" s="107"/>
      <c r="AQ185" s="107"/>
      <c r="AR185" s="107"/>
    </row>
    <row r="186" spans="1:44" ht="26.25" customHeight="1" x14ac:dyDescent="0.3">
      <c r="A186" s="107"/>
      <c r="B186" s="897" t="s">
        <v>6</v>
      </c>
      <c r="C186" s="898"/>
      <c r="D186" s="873"/>
      <c r="E186" s="873"/>
      <c r="F186" s="893"/>
      <c r="G186" s="894"/>
      <c r="H186" s="17"/>
      <c r="I186" s="79"/>
      <c r="Z186" s="107"/>
      <c r="AA186" s="107"/>
      <c r="AB186" s="107"/>
      <c r="AC186" s="107"/>
      <c r="AD186" s="107"/>
      <c r="AE186" s="107"/>
      <c r="AF186" s="107"/>
      <c r="AG186" s="107"/>
      <c r="AH186" s="107"/>
      <c r="AI186" s="107"/>
      <c r="AJ186" s="107"/>
      <c r="AK186" s="107"/>
      <c r="AL186" s="107"/>
      <c r="AM186" s="107"/>
      <c r="AN186" s="107"/>
      <c r="AO186" s="107"/>
      <c r="AP186" s="107"/>
      <c r="AQ186" s="107"/>
      <c r="AR186" s="107"/>
    </row>
    <row r="187" spans="1:44" ht="112.5" customHeight="1" x14ac:dyDescent="0.3">
      <c r="A187" s="107">
        <v>97</v>
      </c>
      <c r="B187" s="4" t="s">
        <v>68</v>
      </c>
      <c r="C187" s="4" t="s">
        <v>1601</v>
      </c>
      <c r="D187" s="29" t="s">
        <v>163</v>
      </c>
      <c r="E187" s="701" t="e">
        <f>HLOOKUP($D$2,'2020 Data(H)'!$C$1:$CZ$428,57,FALSE)</f>
        <v>#N/A</v>
      </c>
      <c r="F187" s="301">
        <v>0</v>
      </c>
      <c r="G187" s="772"/>
      <c r="H187" s="17"/>
      <c r="I187" s="79"/>
      <c r="Z187" s="107"/>
      <c r="AA187" s="107"/>
      <c r="AB187" s="107"/>
      <c r="AC187" s="107"/>
      <c r="AD187" s="107"/>
      <c r="AE187" s="107"/>
      <c r="AF187" s="107"/>
      <c r="AG187" s="107"/>
      <c r="AH187" s="107"/>
      <c r="AI187" s="107"/>
      <c r="AJ187" s="107"/>
      <c r="AK187" s="107"/>
      <c r="AL187" s="107"/>
      <c r="AM187" s="107"/>
      <c r="AN187" s="107"/>
      <c r="AO187" s="107"/>
      <c r="AP187" s="107"/>
      <c r="AQ187" s="107"/>
      <c r="AR187" s="107"/>
    </row>
    <row r="188" spans="1:44" ht="87.75" customHeight="1" x14ac:dyDescent="0.3">
      <c r="A188" s="107">
        <v>93</v>
      </c>
      <c r="B188" s="4" t="s">
        <v>66</v>
      </c>
      <c r="C188" s="4" t="s">
        <v>1601</v>
      </c>
      <c r="D188" s="29" t="s">
        <v>159</v>
      </c>
      <c r="E188" s="701" t="e">
        <f>HLOOKUP($D$2,'2020 Data(H)'!$C$1:$CZ$428,55,FALSE)</f>
        <v>#N/A</v>
      </c>
      <c r="F188" s="302">
        <v>0</v>
      </c>
      <c r="G188" s="762">
        <f>IF(F187&gt;F188,"Error: Charges for services exceed total operating revenues. Account number 97&gt;93",)</f>
        <v>0</v>
      </c>
      <c r="H188" s="17"/>
      <c r="I188" s="79"/>
      <c r="Z188" s="107"/>
      <c r="AA188" s="107"/>
      <c r="AB188" s="107"/>
      <c r="AC188" s="107"/>
      <c r="AD188" s="107"/>
      <c r="AE188" s="107"/>
      <c r="AF188" s="107"/>
      <c r="AG188" s="107"/>
      <c r="AH188" s="107"/>
      <c r="AI188" s="107"/>
      <c r="AJ188" s="107"/>
      <c r="AK188" s="107"/>
      <c r="AL188" s="107"/>
      <c r="AM188" s="107"/>
      <c r="AN188" s="107"/>
      <c r="AO188" s="107"/>
      <c r="AP188" s="107"/>
      <c r="AQ188" s="107"/>
      <c r="AR188" s="107"/>
    </row>
    <row r="189" spans="1:44" ht="96" customHeight="1" x14ac:dyDescent="0.3">
      <c r="A189" s="107">
        <v>99</v>
      </c>
      <c r="B189" s="4" t="s">
        <v>58</v>
      </c>
      <c r="C189" s="4" t="s">
        <v>1601</v>
      </c>
      <c r="D189" s="29" t="s">
        <v>164</v>
      </c>
      <c r="E189" s="701" t="e">
        <f>HLOOKUP($D$2,'2020 Data(H)'!$C$1:$CZ$428,59,FALSE)</f>
        <v>#N/A</v>
      </c>
      <c r="F189" s="302">
        <v>0</v>
      </c>
      <c r="G189" s="762">
        <f t="shared" ref="G189:G197" si="2">IF(F189&lt;0,"Error: Enter as positive.",)</f>
        <v>0</v>
      </c>
      <c r="H189" s="17"/>
      <c r="I189" s="79"/>
      <c r="Z189" s="107"/>
      <c r="AA189" s="107"/>
      <c r="AB189" s="107"/>
      <c r="AC189" s="107"/>
      <c r="AD189" s="107"/>
      <c r="AE189" s="107"/>
      <c r="AF189" s="107"/>
      <c r="AG189" s="107"/>
      <c r="AH189" s="107"/>
      <c r="AI189" s="107"/>
      <c r="AJ189" s="107"/>
      <c r="AK189" s="107"/>
      <c r="AL189" s="107"/>
      <c r="AM189" s="107"/>
      <c r="AN189" s="107"/>
      <c r="AO189" s="107"/>
      <c r="AP189" s="107"/>
      <c r="AQ189" s="107"/>
      <c r="AR189" s="107"/>
    </row>
    <row r="190" spans="1:44" ht="79.5" customHeight="1" x14ac:dyDescent="0.3">
      <c r="A190" s="107">
        <v>52</v>
      </c>
      <c r="B190" s="4" t="s">
        <v>58</v>
      </c>
      <c r="C190" s="4" t="s">
        <v>1601</v>
      </c>
      <c r="D190" s="29" t="s">
        <v>160</v>
      </c>
      <c r="E190" s="701" t="e">
        <f>HLOOKUP($D$2,'2020 Data(H)'!$C$1:$CZ$428,39,FALSE)</f>
        <v>#N/A</v>
      </c>
      <c r="F190" s="302">
        <v>0</v>
      </c>
      <c r="G190" s="762">
        <f t="shared" si="2"/>
        <v>0</v>
      </c>
      <c r="H190" s="17"/>
      <c r="I190" s="79"/>
      <c r="Z190" s="107"/>
      <c r="AA190" s="107"/>
      <c r="AB190" s="107"/>
      <c r="AC190" s="107"/>
      <c r="AD190" s="107"/>
      <c r="AE190" s="107"/>
      <c r="AF190" s="107"/>
      <c r="AG190" s="107"/>
      <c r="AH190" s="107"/>
      <c r="AI190" s="107"/>
      <c r="AJ190" s="107"/>
      <c r="AK190" s="107"/>
      <c r="AL190" s="107"/>
      <c r="AM190" s="107"/>
      <c r="AN190" s="107"/>
      <c r="AO190" s="107"/>
      <c r="AP190" s="107"/>
      <c r="AQ190" s="107"/>
      <c r="AR190" s="107"/>
    </row>
    <row r="191" spans="1:44" ht="95.25" customHeight="1" x14ac:dyDescent="0.3">
      <c r="A191" s="107">
        <v>94</v>
      </c>
      <c r="B191" s="4" t="s">
        <v>66</v>
      </c>
      <c r="C191" s="4" t="s">
        <v>1601</v>
      </c>
      <c r="D191" s="29" t="s">
        <v>161</v>
      </c>
      <c r="E191" s="701" t="e">
        <f>HLOOKUP($D$2,'2020 Data(H)'!$C$1:$CZ$428,56,FALSE)</f>
        <v>#N/A</v>
      </c>
      <c r="F191" s="302">
        <v>0</v>
      </c>
      <c r="G191" s="762">
        <f t="shared" si="2"/>
        <v>0</v>
      </c>
      <c r="H191" s="17"/>
      <c r="I191" s="79"/>
      <c r="Z191" s="107"/>
      <c r="AA191" s="107"/>
      <c r="AB191" s="107"/>
      <c r="AC191" s="107"/>
      <c r="AD191" s="107"/>
      <c r="AE191" s="107"/>
      <c r="AF191" s="107"/>
      <c r="AG191" s="107"/>
      <c r="AH191" s="107"/>
      <c r="AI191" s="107"/>
      <c r="AJ191" s="107"/>
      <c r="AK191" s="107"/>
      <c r="AL191" s="107"/>
      <c r="AM191" s="107"/>
      <c r="AN191" s="107"/>
      <c r="AO191" s="107"/>
      <c r="AP191" s="107"/>
      <c r="AQ191" s="107"/>
      <c r="AR191" s="107"/>
    </row>
    <row r="192" spans="1:44" ht="100.5" customHeight="1" x14ac:dyDescent="0.3">
      <c r="A192" s="107">
        <v>98</v>
      </c>
      <c r="B192" s="4" t="s">
        <v>66</v>
      </c>
      <c r="C192" s="4" t="s">
        <v>1601</v>
      </c>
      <c r="D192" s="29" t="s">
        <v>162</v>
      </c>
      <c r="E192" s="701" t="e">
        <f>HLOOKUP($D$2,'2020 Data(H)'!$C$1:$CZ$428,58,FALSE)</f>
        <v>#N/A</v>
      </c>
      <c r="F192" s="302">
        <v>0</v>
      </c>
      <c r="G192" s="762">
        <f t="shared" si="2"/>
        <v>0</v>
      </c>
      <c r="H192" s="17"/>
      <c r="I192" s="79"/>
      <c r="Z192" s="107"/>
      <c r="AA192" s="107"/>
      <c r="AB192" s="107"/>
      <c r="AC192" s="107"/>
      <c r="AD192" s="107"/>
      <c r="AE192" s="107"/>
      <c r="AF192" s="107"/>
      <c r="AG192" s="107"/>
      <c r="AH192" s="107"/>
      <c r="AI192" s="107"/>
      <c r="AJ192" s="107"/>
      <c r="AK192" s="107"/>
      <c r="AL192" s="107"/>
      <c r="AM192" s="107"/>
      <c r="AN192" s="107"/>
      <c r="AO192" s="107"/>
      <c r="AP192" s="107"/>
      <c r="AQ192" s="107"/>
      <c r="AR192" s="107"/>
    </row>
    <row r="193" spans="1:44" ht="95.25" customHeight="1" x14ac:dyDescent="0.3">
      <c r="A193" s="107">
        <v>363</v>
      </c>
      <c r="B193" s="4" t="s">
        <v>56</v>
      </c>
      <c r="C193" s="4" t="s">
        <v>1601</v>
      </c>
      <c r="D193" s="24" t="s">
        <v>1602</v>
      </c>
      <c r="E193" s="701" t="e">
        <f>HLOOKUP($D$2,'2020 Data(H)'!$C$1:$CZ$428,124,FALSE)</f>
        <v>#N/A</v>
      </c>
      <c r="F193" s="302">
        <v>0</v>
      </c>
      <c r="G193" s="762">
        <f t="shared" si="2"/>
        <v>0</v>
      </c>
      <c r="H193" s="17"/>
      <c r="I193" s="79"/>
      <c r="Z193" s="107"/>
      <c r="AA193" s="107"/>
      <c r="AB193" s="107"/>
      <c r="AC193" s="107"/>
      <c r="AD193" s="107"/>
      <c r="AE193" s="107"/>
      <c r="AF193" s="107"/>
      <c r="AG193" s="107"/>
      <c r="AH193" s="107"/>
      <c r="AI193" s="107"/>
      <c r="AJ193" s="107"/>
      <c r="AK193" s="107"/>
      <c r="AL193" s="107"/>
      <c r="AM193" s="107"/>
      <c r="AN193" s="107"/>
      <c r="AO193" s="107"/>
      <c r="AP193" s="107"/>
      <c r="AQ193" s="107"/>
      <c r="AR193" s="107"/>
    </row>
    <row r="194" spans="1:44" ht="83.25" customHeight="1" x14ac:dyDescent="0.3">
      <c r="A194" s="107">
        <v>364</v>
      </c>
      <c r="B194" s="4" t="s">
        <v>56</v>
      </c>
      <c r="C194" s="4" t="s">
        <v>1601</v>
      </c>
      <c r="D194" s="24" t="s">
        <v>1603</v>
      </c>
      <c r="E194" s="701" t="e">
        <f>HLOOKUP($D$2,'2020 Data(H)'!$C$1:$CZ$428,125,FALSE)</f>
        <v>#N/A</v>
      </c>
      <c r="F194" s="302">
        <v>0</v>
      </c>
      <c r="G194" s="762">
        <f t="shared" si="2"/>
        <v>0</v>
      </c>
      <c r="H194" s="17"/>
      <c r="I194" s="79"/>
      <c r="Z194" s="107"/>
      <c r="AA194" s="107"/>
      <c r="AB194" s="107"/>
      <c r="AC194" s="107"/>
      <c r="AD194" s="107"/>
      <c r="AE194" s="107"/>
      <c r="AF194" s="107"/>
      <c r="AG194" s="107"/>
      <c r="AH194" s="107"/>
      <c r="AI194" s="107"/>
      <c r="AJ194" s="107"/>
      <c r="AK194" s="107"/>
      <c r="AL194" s="107"/>
      <c r="AM194" s="107"/>
      <c r="AN194" s="107"/>
      <c r="AO194" s="107"/>
      <c r="AP194" s="107"/>
      <c r="AQ194" s="107"/>
      <c r="AR194" s="107"/>
    </row>
    <row r="195" spans="1:44" ht="93" customHeight="1" x14ac:dyDescent="0.3">
      <c r="A195" s="107">
        <v>192</v>
      </c>
      <c r="B195" s="4" t="s">
        <v>58</v>
      </c>
      <c r="C195" s="4" t="s">
        <v>1601</v>
      </c>
      <c r="D195" s="24" t="s">
        <v>1604</v>
      </c>
      <c r="E195" s="701" t="e">
        <f>HLOOKUP($D$2,'2020 Data(H)'!$C$1:$CZ$428,73,FALSE)</f>
        <v>#N/A</v>
      </c>
      <c r="F195" s="302">
        <v>0</v>
      </c>
      <c r="G195" s="762">
        <f t="shared" si="2"/>
        <v>0</v>
      </c>
      <c r="H195" s="17"/>
      <c r="I195" s="79"/>
      <c r="Z195" s="107"/>
      <c r="AA195" s="107"/>
      <c r="AB195" s="107"/>
      <c r="AC195" s="107"/>
      <c r="AD195" s="107"/>
      <c r="AE195" s="107"/>
      <c r="AF195" s="107"/>
      <c r="AG195" s="107"/>
      <c r="AH195" s="107"/>
      <c r="AI195" s="107"/>
      <c r="AJ195" s="107"/>
      <c r="AK195" s="107"/>
      <c r="AL195" s="107"/>
      <c r="AM195" s="107"/>
      <c r="AN195" s="107"/>
      <c r="AO195" s="107"/>
      <c r="AP195" s="107"/>
      <c r="AQ195" s="107"/>
      <c r="AR195" s="107"/>
    </row>
    <row r="196" spans="1:44" ht="108" customHeight="1" x14ac:dyDescent="0.3">
      <c r="A196" s="107">
        <v>365</v>
      </c>
      <c r="B196" s="4" t="s">
        <v>66</v>
      </c>
      <c r="C196" s="4" t="s">
        <v>1601</v>
      </c>
      <c r="D196" s="24" t="s">
        <v>1605</v>
      </c>
      <c r="E196" s="701" t="e">
        <f>HLOOKUP($D$2,'2020 Data(H)'!$C$1:$CZ$428,126,FALSE)</f>
        <v>#N/A</v>
      </c>
      <c r="F196" s="302">
        <v>0</v>
      </c>
      <c r="G196" s="762">
        <f t="shared" si="2"/>
        <v>0</v>
      </c>
      <c r="H196" s="17"/>
      <c r="I196" s="79"/>
      <c r="Z196" s="107"/>
      <c r="AA196" s="107"/>
      <c r="AB196" s="107"/>
      <c r="AC196" s="107"/>
      <c r="AD196" s="107"/>
      <c r="AE196" s="107"/>
      <c r="AF196" s="107"/>
      <c r="AG196" s="107"/>
      <c r="AH196" s="107"/>
      <c r="AI196" s="107"/>
      <c r="AJ196" s="107"/>
      <c r="AK196" s="107"/>
      <c r="AL196" s="107"/>
      <c r="AM196" s="107"/>
      <c r="AN196" s="107"/>
      <c r="AO196" s="107"/>
      <c r="AP196" s="107"/>
      <c r="AQ196" s="107"/>
      <c r="AR196" s="107"/>
    </row>
    <row r="197" spans="1:44" ht="84.75" customHeight="1" x14ac:dyDescent="0.3">
      <c r="A197" s="107">
        <v>366</v>
      </c>
      <c r="B197" s="4" t="s">
        <v>66</v>
      </c>
      <c r="C197" s="4" t="s">
        <v>1601</v>
      </c>
      <c r="D197" s="24" t="s">
        <v>1606</v>
      </c>
      <c r="E197" s="701" t="e">
        <f>HLOOKUP($D$2,'2020 Data(H)'!$C$1:$CZ$428,127,FALSE)</f>
        <v>#N/A</v>
      </c>
      <c r="F197" s="302">
        <v>0</v>
      </c>
      <c r="G197" s="762">
        <f t="shared" si="2"/>
        <v>0</v>
      </c>
      <c r="H197" s="17"/>
      <c r="I197" s="79"/>
      <c r="Z197" s="107"/>
      <c r="AA197" s="107"/>
      <c r="AB197" s="107"/>
      <c r="AC197" s="107"/>
      <c r="AD197" s="107"/>
      <c r="AE197" s="107"/>
      <c r="AF197" s="107"/>
      <c r="AG197" s="107"/>
      <c r="AH197" s="107"/>
      <c r="AI197" s="107"/>
      <c r="AJ197" s="107"/>
      <c r="AK197" s="107"/>
      <c r="AL197" s="107"/>
      <c r="AM197" s="107"/>
      <c r="AN197" s="107"/>
      <c r="AO197" s="107"/>
      <c r="AP197" s="107"/>
      <c r="AQ197" s="107"/>
      <c r="AR197" s="107"/>
    </row>
    <row r="198" spans="1:44" s="18" customFormat="1" ht="93.75" customHeight="1" x14ac:dyDescent="0.3">
      <c r="A198" s="107">
        <v>53</v>
      </c>
      <c r="B198" s="703" t="s">
        <v>66</v>
      </c>
      <c r="C198" s="703" t="s">
        <v>1601</v>
      </c>
      <c r="D198" s="740" t="s">
        <v>1607</v>
      </c>
      <c r="E198" s="701" t="e">
        <f>HLOOKUP($D$2,'2020 Data(H)'!$C$1:$CZ$428,40,FALSE)</f>
        <v>#N/A</v>
      </c>
      <c r="F198" s="302">
        <v>0</v>
      </c>
      <c r="G198" s="762">
        <f>IF(H198=0,,"Error: Total revenues less total expenses do not equal total change in net position. Account number 93-94+363-364+192+365-366-53=0  The amount of the formula is in the cell to the right")</f>
        <v>0</v>
      </c>
      <c r="H198" s="765">
        <f>+F188-F191+F193-F194+F195+F196-F197-F198</f>
        <v>0</v>
      </c>
      <c r="I198" s="79"/>
      <c r="N198" s="304"/>
      <c r="Z198" s="107"/>
      <c r="AA198" s="107"/>
      <c r="AB198" s="107"/>
      <c r="AC198" s="107"/>
      <c r="AD198" s="107"/>
      <c r="AE198" s="107"/>
      <c r="AF198" s="107"/>
      <c r="AG198" s="107"/>
      <c r="AH198" s="107"/>
      <c r="AI198" s="107"/>
      <c r="AJ198" s="107"/>
      <c r="AK198" s="107"/>
      <c r="AL198" s="107"/>
      <c r="AM198" s="107"/>
      <c r="AN198" s="107"/>
      <c r="AO198" s="107"/>
      <c r="AP198" s="107"/>
      <c r="AQ198" s="107"/>
      <c r="AR198" s="107"/>
    </row>
    <row r="199" spans="1:44" s="18" customFormat="1" ht="135" customHeight="1" x14ac:dyDescent="0.3">
      <c r="A199" s="107">
        <v>378</v>
      </c>
      <c r="B199" s="5" t="s">
        <v>56</v>
      </c>
      <c r="C199" s="4" t="s">
        <v>1601</v>
      </c>
      <c r="D199" s="740" t="s">
        <v>1608</v>
      </c>
      <c r="E199" s="701" t="e">
        <f>HLOOKUP($D$2,'2020 Data(H)'!$C$1:$CZ$428,137,FALSE)</f>
        <v>#N/A</v>
      </c>
      <c r="F199" s="301"/>
      <c r="G199" s="762" t="e">
        <f>IF(F168-F198-F199=E168,,"Error: Beginning Balance does not agree with our records.  Acct #s (362-53-378)=prior year 362  The amount of the formula is in the cell to the right")</f>
        <v>#N/A</v>
      </c>
      <c r="H199" s="765" t="e">
        <f>+F168-F198-F199-E168</f>
        <v>#N/A</v>
      </c>
      <c r="I199" s="1263" t="s">
        <v>1852</v>
      </c>
      <c r="N199" s="304"/>
      <c r="Z199" s="107"/>
      <c r="AA199" s="107"/>
      <c r="AB199" s="107"/>
      <c r="AC199" s="107"/>
      <c r="AD199" s="107"/>
      <c r="AE199" s="107"/>
      <c r="AF199" s="107"/>
      <c r="AG199" s="107"/>
      <c r="AH199" s="107"/>
      <c r="AI199" s="107"/>
      <c r="AJ199" s="107"/>
      <c r="AK199" s="107"/>
      <c r="AL199" s="107"/>
      <c r="AM199" s="107"/>
      <c r="AN199" s="107"/>
      <c r="AO199" s="107"/>
      <c r="AP199" s="107"/>
      <c r="AQ199" s="107"/>
      <c r="AR199" s="107"/>
    </row>
    <row r="200" spans="1:44" ht="30.75" customHeight="1" x14ac:dyDescent="0.3">
      <c r="A200" s="107"/>
      <c r="B200" s="897" t="s">
        <v>831</v>
      </c>
      <c r="C200" s="897"/>
      <c r="D200" s="900"/>
      <c r="E200" s="880"/>
      <c r="F200" s="901"/>
      <c r="G200" s="882"/>
      <c r="H200" s="17"/>
      <c r="I200" s="79"/>
      <c r="Z200" s="107"/>
      <c r="AA200" s="107"/>
      <c r="AB200" s="107"/>
      <c r="AC200" s="107"/>
      <c r="AD200" s="107"/>
      <c r="AE200" s="107"/>
      <c r="AF200" s="107"/>
      <c r="AG200" s="107"/>
      <c r="AH200" s="107"/>
      <c r="AI200" s="107"/>
      <c r="AJ200" s="107"/>
      <c r="AK200" s="107"/>
      <c r="AL200" s="107"/>
      <c r="AM200" s="107"/>
      <c r="AN200" s="107"/>
      <c r="AO200" s="107"/>
      <c r="AP200" s="107"/>
      <c r="AQ200" s="107"/>
      <c r="AR200" s="107"/>
    </row>
    <row r="201" spans="1:44" ht="13.5" customHeight="1" x14ac:dyDescent="0.3">
      <c r="A201" s="107"/>
      <c r="B201" s="902" t="s">
        <v>1609</v>
      </c>
      <c r="C201" s="898"/>
      <c r="D201" s="873"/>
      <c r="E201" s="873"/>
      <c r="F201" s="903"/>
      <c r="G201" s="894"/>
      <c r="H201" s="17"/>
      <c r="I201" s="79"/>
      <c r="Z201" s="107"/>
      <c r="AA201" s="107"/>
      <c r="AB201" s="107"/>
      <c r="AC201" s="107"/>
      <c r="AD201" s="107"/>
      <c r="AE201" s="107"/>
      <c r="AF201" s="107"/>
      <c r="AG201" s="107"/>
      <c r="AH201" s="107"/>
      <c r="AI201" s="107"/>
      <c r="AJ201" s="107"/>
      <c r="AK201" s="107"/>
      <c r="AL201" s="107"/>
      <c r="AM201" s="107"/>
      <c r="AN201" s="107"/>
      <c r="AO201" s="107"/>
      <c r="AP201" s="107"/>
      <c r="AQ201" s="107"/>
      <c r="AR201" s="107"/>
    </row>
    <row r="202" spans="1:44" ht="17.25" customHeight="1" x14ac:dyDescent="0.3">
      <c r="A202" s="107"/>
      <c r="B202" s="898" t="s">
        <v>1610</v>
      </c>
      <c r="C202" s="898"/>
      <c r="D202" s="889"/>
      <c r="E202" s="871"/>
      <c r="F202" s="904"/>
      <c r="G202" s="896"/>
      <c r="H202" s="17"/>
      <c r="I202" s="79"/>
      <c r="Z202" s="107"/>
      <c r="AA202" s="107"/>
      <c r="AB202" s="107"/>
      <c r="AC202" s="107"/>
      <c r="AD202" s="107"/>
      <c r="AE202" s="107"/>
      <c r="AF202" s="107"/>
      <c r="AG202" s="107"/>
      <c r="AH202" s="107"/>
      <c r="AI202" s="107"/>
      <c r="AJ202" s="107"/>
      <c r="AK202" s="107"/>
      <c r="AL202" s="107"/>
      <c r="AM202" s="107"/>
      <c r="AN202" s="107"/>
      <c r="AO202" s="107"/>
      <c r="AP202" s="107"/>
      <c r="AQ202" s="107"/>
      <c r="AR202" s="107"/>
    </row>
    <row r="203" spans="1:44" ht="13.5" customHeight="1" x14ac:dyDescent="0.3">
      <c r="A203" s="107"/>
      <c r="B203" s="898" t="s">
        <v>23</v>
      </c>
      <c r="C203" s="898"/>
      <c r="D203" s="889"/>
      <c r="E203" s="871"/>
      <c r="F203" s="904"/>
      <c r="G203" s="896"/>
      <c r="H203" s="17"/>
      <c r="I203" s="79"/>
      <c r="Z203" s="107"/>
      <c r="AA203" s="107"/>
      <c r="AB203" s="107"/>
      <c r="AC203" s="107"/>
      <c r="AD203" s="107"/>
      <c r="AE203" s="107"/>
      <c r="AF203" s="107"/>
      <c r="AG203" s="107"/>
      <c r="AH203" s="107"/>
      <c r="AI203" s="107"/>
      <c r="AJ203" s="107"/>
      <c r="AK203" s="107"/>
      <c r="AL203" s="107"/>
      <c r="AM203" s="107"/>
      <c r="AN203" s="107"/>
      <c r="AO203" s="107"/>
      <c r="AP203" s="107"/>
      <c r="AQ203" s="107"/>
      <c r="AR203" s="107"/>
    </row>
    <row r="204" spans="1:44" ht="59.25" customHeight="1" x14ac:dyDescent="0.3">
      <c r="A204" s="107">
        <v>51</v>
      </c>
      <c r="B204" s="4" t="s">
        <v>527</v>
      </c>
      <c r="C204" s="862" t="s">
        <v>1611</v>
      </c>
      <c r="D204" s="24" t="s">
        <v>1612</v>
      </c>
      <c r="E204" s="701" t="e">
        <f>HLOOKUP($D$2,'2020 Data(H)'!$C$1:$CZ$428,38,FALSE)</f>
        <v>#N/A</v>
      </c>
      <c r="F204" s="302">
        <v>0</v>
      </c>
      <c r="G204" s="772"/>
      <c r="H204" s="17"/>
      <c r="I204" s="79"/>
      <c r="Z204" s="107"/>
      <c r="AA204" s="107"/>
      <c r="AB204" s="107"/>
      <c r="AC204" s="107"/>
      <c r="AD204" s="107"/>
      <c r="AE204" s="107"/>
      <c r="AF204" s="107"/>
      <c r="AG204" s="107"/>
      <c r="AH204" s="107"/>
      <c r="AI204" s="107"/>
      <c r="AJ204" s="107"/>
      <c r="AK204" s="107"/>
      <c r="AL204" s="107"/>
      <c r="AM204" s="107"/>
      <c r="AN204" s="107"/>
      <c r="AO204" s="107"/>
      <c r="AP204" s="107"/>
      <c r="AQ204" s="107"/>
      <c r="AR204" s="107"/>
    </row>
    <row r="205" spans="1:44" ht="45" customHeight="1" x14ac:dyDescent="0.3">
      <c r="A205" s="107">
        <v>332</v>
      </c>
      <c r="B205" s="4" t="s">
        <v>37</v>
      </c>
      <c r="C205" s="862" t="s">
        <v>1611</v>
      </c>
      <c r="D205" s="24" t="s">
        <v>1613</v>
      </c>
      <c r="E205" s="701" t="e">
        <f>HLOOKUP($D$2,'2020 Data(H)'!$C$1:$CZ$428,98,FALSE)</f>
        <v>#N/A</v>
      </c>
      <c r="F205" s="302">
        <v>0</v>
      </c>
      <c r="G205" s="762">
        <f>IF(F205&lt;0,"Error: Enter as positive.",)</f>
        <v>0</v>
      </c>
      <c r="H205" s="17"/>
      <c r="I205" s="79"/>
      <c r="Z205" s="107"/>
      <c r="AA205" s="107"/>
      <c r="AB205" s="107"/>
      <c r="AC205" s="107"/>
      <c r="AD205" s="107"/>
      <c r="AE205" s="107"/>
      <c r="AF205" s="107"/>
      <c r="AG205" s="107"/>
      <c r="AH205" s="107"/>
      <c r="AI205" s="107"/>
      <c r="AJ205" s="107"/>
      <c r="AK205" s="107"/>
      <c r="AL205" s="107"/>
      <c r="AM205" s="107"/>
      <c r="AN205" s="107"/>
      <c r="AO205" s="107"/>
      <c r="AP205" s="107"/>
      <c r="AQ205" s="107"/>
      <c r="AR205" s="107"/>
    </row>
    <row r="206" spans="1:44" ht="63" customHeight="1" x14ac:dyDescent="0.3">
      <c r="A206" s="107">
        <v>331</v>
      </c>
      <c r="B206" s="4" t="s">
        <v>527</v>
      </c>
      <c r="C206" s="862" t="s">
        <v>1611</v>
      </c>
      <c r="D206" s="24" t="s">
        <v>1614</v>
      </c>
      <c r="E206" s="701" t="e">
        <f>HLOOKUP($D$2,'2020 Data(H)'!$C$1:$CZ$428,97,FALSE)</f>
        <v>#N/A</v>
      </c>
      <c r="F206" s="302">
        <v>0</v>
      </c>
      <c r="G206" s="762">
        <f>IF(F206&lt;0,"Error: Enter as positive.",)</f>
        <v>0</v>
      </c>
      <c r="H206" s="17"/>
      <c r="I206" s="79"/>
      <c r="Z206" s="107"/>
      <c r="AA206" s="107"/>
      <c r="AB206" s="107"/>
      <c r="AC206" s="107"/>
      <c r="AD206" s="107"/>
      <c r="AE206" s="107"/>
      <c r="AF206" s="107"/>
      <c r="AG206" s="107"/>
      <c r="AH206" s="107"/>
      <c r="AI206" s="107"/>
      <c r="AJ206" s="107"/>
      <c r="AK206" s="107"/>
      <c r="AL206" s="107"/>
      <c r="AM206" s="107"/>
      <c r="AN206" s="107"/>
      <c r="AO206" s="107"/>
      <c r="AP206" s="107"/>
      <c r="AQ206" s="107"/>
      <c r="AR206" s="107"/>
    </row>
    <row r="207" spans="1:44" x14ac:dyDescent="0.3">
      <c r="A207" s="107"/>
      <c r="B207" s="897" t="s">
        <v>6</v>
      </c>
      <c r="C207" s="898"/>
      <c r="D207" s="898"/>
      <c r="E207" s="873"/>
      <c r="F207" s="903"/>
      <c r="G207" s="905"/>
      <c r="H207" s="17"/>
      <c r="I207" s="79"/>
      <c r="Z207" s="107"/>
      <c r="AA207" s="107"/>
      <c r="AB207" s="107"/>
      <c r="AC207" s="107"/>
      <c r="AD207" s="107"/>
      <c r="AE207" s="107"/>
      <c r="AF207" s="107"/>
      <c r="AG207" s="107"/>
      <c r="AH207" s="107"/>
      <c r="AI207" s="107"/>
      <c r="AJ207" s="107"/>
      <c r="AK207" s="107"/>
      <c r="AL207" s="107"/>
      <c r="AM207" s="107"/>
      <c r="AN207" s="107"/>
      <c r="AO207" s="107"/>
      <c r="AP207" s="107"/>
      <c r="AQ207" s="107"/>
      <c r="AR207" s="107"/>
    </row>
    <row r="208" spans="1:44" ht="48" customHeight="1" x14ac:dyDescent="0.3">
      <c r="A208" s="107">
        <v>55</v>
      </c>
      <c r="B208" s="4" t="s">
        <v>59</v>
      </c>
      <c r="C208" s="862" t="s">
        <v>1615</v>
      </c>
      <c r="D208" s="24" t="s">
        <v>1616</v>
      </c>
      <c r="E208" s="701" t="e">
        <f>HLOOKUP($D$2,'2020 Data(H)'!$C$1:$CZ$428,42,FALSE)</f>
        <v>#N/A</v>
      </c>
      <c r="F208" s="302">
        <v>0</v>
      </c>
      <c r="G208" s="772"/>
      <c r="H208" s="17"/>
      <c r="I208" s="79"/>
      <c r="Z208" s="107"/>
      <c r="AA208" s="107"/>
      <c r="AB208" s="107"/>
      <c r="AC208" s="107"/>
      <c r="AD208" s="107"/>
      <c r="AE208" s="107"/>
      <c r="AF208" s="107"/>
      <c r="AG208" s="107"/>
      <c r="AH208" s="107"/>
      <c r="AI208" s="107"/>
      <c r="AJ208" s="107"/>
      <c r="AK208" s="107"/>
      <c r="AL208" s="107"/>
      <c r="AM208" s="107"/>
      <c r="AN208" s="107"/>
      <c r="AO208" s="107"/>
      <c r="AP208" s="107"/>
      <c r="AQ208" s="107"/>
      <c r="AR208" s="107"/>
    </row>
    <row r="209" spans="1:44" ht="60" customHeight="1" x14ac:dyDescent="0.3">
      <c r="A209" s="107">
        <v>101</v>
      </c>
      <c r="B209" s="4" t="s">
        <v>65</v>
      </c>
      <c r="C209" s="862" t="s">
        <v>1615</v>
      </c>
      <c r="D209" s="24" t="s">
        <v>1617</v>
      </c>
      <c r="E209" s="701" t="e">
        <f>HLOOKUP($D$2,'2020 Data(H)'!$C$1:$CZ$428,61,FALSE)</f>
        <v>#N/A</v>
      </c>
      <c r="F209" s="302">
        <v>0</v>
      </c>
      <c r="G209" s="762">
        <f>IF(F209&lt;0,"Error: Enter as positive.",)</f>
        <v>0</v>
      </c>
      <c r="H209" s="17"/>
      <c r="I209" s="79"/>
      <c r="Z209" s="107"/>
      <c r="AA209" s="107"/>
      <c r="AB209" s="107"/>
      <c r="AC209" s="107"/>
      <c r="AD209" s="107"/>
      <c r="AE209" s="107"/>
      <c r="AF209" s="107"/>
      <c r="AG209" s="107"/>
      <c r="AH209" s="107"/>
      <c r="AI209" s="107"/>
      <c r="AJ209" s="107"/>
      <c r="AK209" s="107"/>
      <c r="AL209" s="107"/>
      <c r="AM209" s="107"/>
      <c r="AN209" s="107"/>
      <c r="AO209" s="107"/>
      <c r="AP209" s="107"/>
      <c r="AQ209" s="107"/>
      <c r="AR209" s="107"/>
    </row>
    <row r="210" spans="1:44" ht="71.25" customHeight="1" x14ac:dyDescent="0.3">
      <c r="A210" s="107">
        <v>100</v>
      </c>
      <c r="B210" s="4" t="s">
        <v>66</v>
      </c>
      <c r="C210" s="862" t="s">
        <v>1615</v>
      </c>
      <c r="D210" s="24" t="s">
        <v>1614</v>
      </c>
      <c r="E210" s="701" t="e">
        <f>HLOOKUP($D$2,'2020 Data(H)'!$C$1:$CZ$428,60,FALSE)</f>
        <v>#N/A</v>
      </c>
      <c r="F210" s="302">
        <v>0</v>
      </c>
      <c r="G210" s="762">
        <f>IF(F210&lt;0,"Error: Enter as positive.",)</f>
        <v>0</v>
      </c>
      <c r="H210" s="17"/>
      <c r="I210" s="79"/>
      <c r="Z210" s="107"/>
      <c r="AA210" s="107"/>
      <c r="AB210" s="107"/>
      <c r="AC210" s="107"/>
      <c r="AD210" s="107"/>
      <c r="AE210" s="107"/>
      <c r="AF210" s="107"/>
      <c r="AG210" s="107"/>
      <c r="AH210" s="107"/>
      <c r="AI210" s="107"/>
      <c r="AJ210" s="107"/>
      <c r="AK210" s="107"/>
      <c r="AL210" s="107"/>
      <c r="AM210" s="107"/>
      <c r="AN210" s="107"/>
      <c r="AO210" s="107"/>
      <c r="AP210" s="107"/>
      <c r="AQ210" s="107"/>
      <c r="AR210" s="107"/>
    </row>
    <row r="211" spans="1:44" x14ac:dyDescent="0.3">
      <c r="A211" s="107"/>
      <c r="B211" s="873" t="s">
        <v>71</v>
      </c>
      <c r="C211" s="889"/>
      <c r="D211" s="873"/>
      <c r="E211" s="873"/>
      <c r="F211" s="906"/>
      <c r="G211" s="892"/>
      <c r="H211" s="17"/>
      <c r="I211" s="79"/>
      <c r="J211" s="607"/>
      <c r="Z211" s="107"/>
      <c r="AA211" s="107"/>
      <c r="AB211" s="107"/>
      <c r="AC211" s="107"/>
      <c r="AD211" s="107"/>
      <c r="AE211" s="107"/>
      <c r="AF211" s="107"/>
      <c r="AG211" s="107"/>
      <c r="AH211" s="107"/>
      <c r="AI211" s="107"/>
      <c r="AJ211" s="107"/>
      <c r="AK211" s="107"/>
      <c r="AL211" s="107"/>
      <c r="AM211" s="107"/>
      <c r="AN211" s="107"/>
      <c r="AO211" s="107"/>
      <c r="AP211" s="107"/>
      <c r="AQ211" s="107"/>
      <c r="AR211" s="107"/>
    </row>
    <row r="212" spans="1:44" ht="106.5" customHeight="1" x14ac:dyDescent="0.3">
      <c r="A212" s="107">
        <v>512</v>
      </c>
      <c r="B212" s="591"/>
      <c r="C212" s="862" t="s">
        <v>165</v>
      </c>
      <c r="D212" s="24" t="s">
        <v>1618</v>
      </c>
      <c r="E212" s="701" t="e">
        <f>HLOOKUP($D$2,'2020 Data(H)'!$C$1:$CZ$428,162,FALSE)</f>
        <v>#N/A</v>
      </c>
      <c r="F212" s="302">
        <v>0</v>
      </c>
      <c r="G212" s="762">
        <f>IF(F212&lt;0,"Error: Enter as positive.",)</f>
        <v>0</v>
      </c>
      <c r="H212" s="17"/>
      <c r="I212" s="79"/>
      <c r="J212" s="607"/>
      <c r="Z212" s="107"/>
      <c r="AA212" s="107"/>
      <c r="AB212" s="107"/>
      <c r="AC212" s="107"/>
      <c r="AD212" s="107"/>
      <c r="AE212" s="107"/>
      <c r="AF212" s="107"/>
      <c r="AG212" s="107"/>
      <c r="AH212" s="107"/>
      <c r="AI212" s="107"/>
      <c r="AJ212" s="107"/>
      <c r="AK212" s="107"/>
      <c r="AL212" s="107"/>
      <c r="AM212" s="107"/>
      <c r="AN212" s="107"/>
      <c r="AO212" s="107"/>
      <c r="AP212" s="107"/>
      <c r="AQ212" s="107"/>
      <c r="AR212" s="107"/>
    </row>
    <row r="213" spans="1:44" x14ac:dyDescent="0.3">
      <c r="A213" s="107"/>
      <c r="B213" s="897" t="s">
        <v>817</v>
      </c>
      <c r="C213" s="898"/>
      <c r="D213" s="900"/>
      <c r="E213" s="907"/>
      <c r="F213" s="906"/>
      <c r="G213" s="892"/>
      <c r="H213" s="763"/>
      <c r="I213" s="764"/>
      <c r="Z213" s="107"/>
      <c r="AA213" s="107"/>
      <c r="AB213" s="107"/>
      <c r="AC213" s="107"/>
      <c r="AD213" s="107"/>
      <c r="AE213" s="107"/>
      <c r="AF213" s="107"/>
      <c r="AG213" s="107"/>
      <c r="AH213" s="107"/>
      <c r="AI213" s="107"/>
      <c r="AJ213" s="107"/>
      <c r="AK213" s="107"/>
      <c r="AL213" s="107"/>
      <c r="AM213" s="107"/>
      <c r="AN213" s="107"/>
      <c r="AO213" s="107"/>
      <c r="AP213" s="107"/>
      <c r="AQ213" s="107"/>
      <c r="AR213" s="107"/>
    </row>
    <row r="214" spans="1:44" ht="59.25" customHeight="1" x14ac:dyDescent="0.3">
      <c r="A214" s="316">
        <v>656</v>
      </c>
      <c r="B214" s="316"/>
      <c r="C214" s="316"/>
      <c r="D214" s="787" t="s">
        <v>818</v>
      </c>
      <c r="E214" s="701" t="e">
        <f>HLOOKUP($D$2,'2020 Data(H)'!$C$1:$CZ$428,309,FALSE)</f>
        <v>#N/A</v>
      </c>
      <c r="F214" s="302">
        <v>0</v>
      </c>
      <c r="G214" s="762"/>
      <c r="H214" s="17"/>
      <c r="I214" s="79"/>
      <c r="J214" s="607"/>
      <c r="Z214" s="316"/>
      <c r="AA214" s="316"/>
      <c r="AB214" s="316"/>
      <c r="AC214" s="316"/>
      <c r="AD214" s="316"/>
      <c r="AE214" s="316"/>
      <c r="AF214" s="316"/>
      <c r="AG214" s="316"/>
      <c r="AH214" s="316"/>
      <c r="AI214" s="316"/>
      <c r="AJ214" s="316"/>
      <c r="AK214" s="316"/>
      <c r="AL214" s="316"/>
      <c r="AM214" s="316"/>
      <c r="AN214" s="316"/>
      <c r="AO214" s="316"/>
      <c r="AP214" s="316"/>
      <c r="AQ214" s="316"/>
      <c r="AR214" s="316"/>
    </row>
    <row r="215" spans="1:44" x14ac:dyDescent="0.3">
      <c r="A215" s="107"/>
      <c r="B215" s="897" t="s">
        <v>530</v>
      </c>
      <c r="C215" s="898"/>
      <c r="D215" s="900"/>
      <c r="E215" s="907"/>
      <c r="F215" s="906"/>
      <c r="G215" s="892"/>
      <c r="H215" s="763"/>
      <c r="I215" s="764"/>
      <c r="Z215" s="107"/>
      <c r="AA215" s="107"/>
      <c r="AB215" s="107"/>
      <c r="AC215" s="107"/>
      <c r="AD215" s="107"/>
      <c r="AE215" s="107"/>
      <c r="AF215" s="107"/>
      <c r="AG215" s="107"/>
      <c r="AH215" s="107"/>
      <c r="AI215" s="107"/>
      <c r="AJ215" s="107"/>
      <c r="AK215" s="107"/>
      <c r="AL215" s="107"/>
      <c r="AM215" s="107"/>
      <c r="AN215" s="107"/>
      <c r="AO215" s="107"/>
      <c r="AP215" s="107"/>
      <c r="AQ215" s="107"/>
      <c r="AR215" s="107"/>
    </row>
    <row r="216" spans="1:44" ht="121.5" customHeight="1" x14ac:dyDescent="0.3">
      <c r="A216" s="107">
        <v>535</v>
      </c>
      <c r="B216" s="703" t="s">
        <v>55</v>
      </c>
      <c r="C216" s="703" t="s">
        <v>166</v>
      </c>
      <c r="D216" s="24" t="s">
        <v>1619</v>
      </c>
      <c r="E216" s="701" t="e">
        <f>HLOOKUP($D$2,'2020 Data(H)'!$C$1:$CZ$428,185,FALSE)</f>
        <v>#N/A</v>
      </c>
      <c r="F216" s="302">
        <v>0</v>
      </c>
      <c r="G216" s="762" t="str">
        <f>IF(F216&lt;1,"Reminder: Please make sure you have entered all cash and investments from bond/Debt proceeds, if applicable.",)</f>
        <v>Reminder: Please make sure you have entered all cash and investments from bond/Debt proceeds, if applicable.</v>
      </c>
      <c r="H216" s="763"/>
      <c r="I216" s="764"/>
      <c r="Z216" s="107"/>
      <c r="AA216" s="107"/>
      <c r="AB216" s="107"/>
      <c r="AC216" s="107"/>
      <c r="AD216" s="107"/>
      <c r="AE216" s="107"/>
      <c r="AF216" s="107"/>
      <c r="AG216" s="107"/>
      <c r="AH216" s="107"/>
      <c r="AI216" s="107"/>
      <c r="AJ216" s="107"/>
      <c r="AK216" s="107"/>
      <c r="AL216" s="107"/>
      <c r="AM216" s="107"/>
      <c r="AN216" s="107"/>
      <c r="AO216" s="107"/>
      <c r="AP216" s="107"/>
      <c r="AQ216" s="107"/>
      <c r="AR216" s="107"/>
    </row>
    <row r="217" spans="1:44" x14ac:dyDescent="0.3">
      <c r="A217" s="107"/>
      <c r="B217" s="897" t="s">
        <v>29</v>
      </c>
      <c r="C217" s="898"/>
      <c r="D217" s="874"/>
      <c r="E217" s="874"/>
      <c r="F217" s="903"/>
      <c r="G217" s="894"/>
      <c r="H217" s="17"/>
      <c r="I217" s="79"/>
      <c r="Z217" s="107"/>
      <c r="AA217" s="107"/>
      <c r="AB217" s="107"/>
      <c r="AC217" s="107"/>
      <c r="AD217" s="107"/>
      <c r="AE217" s="107"/>
      <c r="AF217" s="107"/>
      <c r="AG217" s="107"/>
      <c r="AH217" s="107"/>
      <c r="AI217" s="107"/>
      <c r="AJ217" s="107"/>
      <c r="AK217" s="107"/>
      <c r="AL217" s="107"/>
      <c r="AM217" s="107"/>
      <c r="AN217" s="107"/>
      <c r="AO217" s="107"/>
      <c r="AP217" s="107"/>
      <c r="AQ217" s="107"/>
      <c r="AR217" s="107"/>
    </row>
    <row r="218" spans="1:44" x14ac:dyDescent="0.3">
      <c r="A218" s="107"/>
      <c r="B218" s="591"/>
      <c r="C218" s="591"/>
      <c r="D218" s="788" t="s">
        <v>2</v>
      </c>
      <c r="E218" s="1"/>
      <c r="F218" s="163"/>
      <c r="G218" s="772"/>
      <c r="H218" s="17"/>
      <c r="I218" s="79"/>
      <c r="Z218" s="107"/>
      <c r="AA218" s="107"/>
      <c r="AB218" s="107"/>
      <c r="AC218" s="107"/>
      <c r="AD218" s="107"/>
      <c r="AE218" s="107"/>
      <c r="AF218" s="107"/>
      <c r="AG218" s="107"/>
      <c r="AH218" s="107"/>
      <c r="AI218" s="107"/>
      <c r="AJ218" s="107"/>
      <c r="AK218" s="107"/>
      <c r="AL218" s="107"/>
      <c r="AM218" s="107"/>
      <c r="AN218" s="107"/>
      <c r="AO218" s="107"/>
      <c r="AP218" s="107"/>
      <c r="AQ218" s="107"/>
      <c r="AR218" s="107"/>
    </row>
    <row r="219" spans="1:44" ht="36" customHeight="1" x14ac:dyDescent="0.3">
      <c r="A219" s="107"/>
      <c r="B219" s="591"/>
      <c r="C219" s="591"/>
      <c r="D219" s="702" t="s">
        <v>1620</v>
      </c>
      <c r="E219" s="1"/>
      <c r="F219" s="163"/>
      <c r="G219" s="772"/>
      <c r="H219" s="17"/>
      <c r="I219" s="79"/>
      <c r="Z219" s="107"/>
      <c r="AA219" s="107"/>
      <c r="AB219" s="107"/>
      <c r="AC219" s="107"/>
      <c r="AD219" s="107"/>
      <c r="AE219" s="107"/>
      <c r="AF219" s="107"/>
      <c r="AG219" s="107"/>
      <c r="AH219" s="107"/>
      <c r="AI219" s="107"/>
      <c r="AJ219" s="107"/>
      <c r="AK219" s="107"/>
      <c r="AL219" s="107"/>
      <c r="AM219" s="107"/>
      <c r="AN219" s="107"/>
      <c r="AO219" s="107"/>
      <c r="AP219" s="107"/>
      <c r="AQ219" s="107"/>
      <c r="AR219" s="107"/>
    </row>
    <row r="220" spans="1:44" ht="45.6" customHeight="1" x14ac:dyDescent="0.3">
      <c r="A220" s="107">
        <v>334</v>
      </c>
      <c r="B220" s="4" t="s">
        <v>56</v>
      </c>
      <c r="C220" s="4" t="s">
        <v>173</v>
      </c>
      <c r="D220" s="24" t="s">
        <v>1621</v>
      </c>
      <c r="E220" s="701" t="e">
        <f>HLOOKUP($D$2,'2020 Data(H)'!$C$1:$CZ$428,100,FALSE)</f>
        <v>#N/A</v>
      </c>
      <c r="F220" s="302">
        <v>0</v>
      </c>
      <c r="G220" s="772"/>
      <c r="H220" s="17"/>
      <c r="I220" s="79"/>
      <c r="Z220" s="107"/>
      <c r="AA220" s="107"/>
      <c r="AB220" s="107"/>
      <c r="AC220" s="107"/>
      <c r="AD220" s="107"/>
      <c r="AE220" s="107"/>
      <c r="AF220" s="107"/>
      <c r="AG220" s="107"/>
      <c r="AH220" s="107"/>
      <c r="AI220" s="107"/>
      <c r="AJ220" s="107"/>
      <c r="AK220" s="107"/>
      <c r="AL220" s="107"/>
      <c r="AM220" s="107"/>
      <c r="AN220" s="107"/>
      <c r="AO220" s="107"/>
      <c r="AP220" s="107"/>
      <c r="AQ220" s="107"/>
      <c r="AR220" s="107"/>
    </row>
    <row r="221" spans="1:44" ht="45.6" customHeight="1" x14ac:dyDescent="0.3">
      <c r="A221" s="107">
        <v>373</v>
      </c>
      <c r="B221" s="4" t="s">
        <v>56</v>
      </c>
      <c r="C221" s="4" t="s">
        <v>173</v>
      </c>
      <c r="D221" s="29" t="s">
        <v>172</v>
      </c>
      <c r="E221" s="701" t="e">
        <f>HLOOKUP($D$2,'2020 Data(H)'!$C$1:$CZ$428,133,FALSE)</f>
        <v>#N/A</v>
      </c>
      <c r="F221" s="302">
        <v>0</v>
      </c>
      <c r="G221" s="762">
        <f>IF(F221&lt;0,"Error: Enter as positive.",)</f>
        <v>0</v>
      </c>
      <c r="H221" s="17"/>
      <c r="I221" s="79"/>
      <c r="Z221" s="107"/>
      <c r="AA221" s="107"/>
      <c r="AB221" s="107"/>
      <c r="AC221" s="107"/>
      <c r="AD221" s="107"/>
      <c r="AE221" s="107"/>
      <c r="AF221" s="107"/>
      <c r="AG221" s="107"/>
      <c r="AH221" s="107"/>
      <c r="AI221" s="107"/>
      <c r="AJ221" s="107"/>
      <c r="AK221" s="107"/>
      <c r="AL221" s="107"/>
      <c r="AM221" s="107"/>
      <c r="AN221" s="107"/>
      <c r="AO221" s="107"/>
      <c r="AP221" s="107"/>
      <c r="AQ221" s="107"/>
      <c r="AR221" s="107"/>
    </row>
    <row r="222" spans="1:44" ht="92.25" customHeight="1" x14ac:dyDescent="0.3">
      <c r="A222" s="107">
        <v>987</v>
      </c>
      <c r="B222" s="861" t="s">
        <v>1132</v>
      </c>
      <c r="C222" s="861"/>
      <c r="D222" s="789" t="s">
        <v>1411</v>
      </c>
      <c r="E222" s="701" t="s">
        <v>1133</v>
      </c>
      <c r="F222" s="302">
        <v>0</v>
      </c>
      <c r="G222" s="790" t="str">
        <f>IF(F222="","If this question is not applicable please place a zero in the cell to the left","")</f>
        <v/>
      </c>
      <c r="H222" s="741"/>
      <c r="I222" s="79"/>
      <c r="Z222" s="107"/>
      <c r="AA222" s="107"/>
      <c r="AB222" s="107"/>
      <c r="AC222" s="107"/>
      <c r="AD222" s="107"/>
      <c r="AE222" s="107"/>
      <c r="AF222" s="107"/>
      <c r="AG222" s="107"/>
      <c r="AH222" s="107"/>
      <c r="AI222" s="107"/>
      <c r="AJ222" s="107"/>
      <c r="AK222" s="107"/>
      <c r="AL222" s="107"/>
      <c r="AM222" s="107"/>
      <c r="AN222" s="107"/>
      <c r="AO222" s="107"/>
      <c r="AP222" s="107"/>
      <c r="AQ222" s="107"/>
      <c r="AR222" s="107"/>
    </row>
    <row r="223" spans="1:44" ht="66.75" customHeight="1" x14ac:dyDescent="0.3">
      <c r="A223" s="107">
        <v>988</v>
      </c>
      <c r="B223" s="861" t="s">
        <v>1132</v>
      </c>
      <c r="C223" s="861"/>
      <c r="D223" s="789" t="s">
        <v>1408</v>
      </c>
      <c r="E223" s="701" t="s">
        <v>1133</v>
      </c>
      <c r="F223" s="302"/>
      <c r="G223" s="762"/>
      <c r="H223" s="17"/>
      <c r="I223" s="79"/>
      <c r="Z223" s="107"/>
      <c r="AA223" s="107"/>
      <c r="AB223" s="107"/>
      <c r="AC223" s="107"/>
      <c r="AD223" s="107"/>
      <c r="AE223" s="107"/>
      <c r="AF223" s="107"/>
      <c r="AG223" s="107"/>
      <c r="AH223" s="107"/>
      <c r="AI223" s="107"/>
      <c r="AJ223" s="107"/>
      <c r="AK223" s="107"/>
      <c r="AL223" s="107"/>
      <c r="AM223" s="107"/>
      <c r="AN223" s="107"/>
      <c r="AO223" s="107"/>
      <c r="AP223" s="107"/>
      <c r="AQ223" s="107"/>
      <c r="AR223" s="107"/>
    </row>
    <row r="224" spans="1:44" ht="90" customHeight="1" x14ac:dyDescent="0.3">
      <c r="A224" s="107">
        <v>989</v>
      </c>
      <c r="B224" s="861" t="s">
        <v>1132</v>
      </c>
      <c r="C224" s="861"/>
      <c r="D224" s="789" t="s">
        <v>1676</v>
      </c>
      <c r="E224" s="701" t="s">
        <v>1167</v>
      </c>
      <c r="F224" s="302"/>
      <c r="G224" s="762"/>
      <c r="H224" s="17"/>
      <c r="I224" s="79"/>
      <c r="Z224" s="107"/>
      <c r="AA224" s="107"/>
      <c r="AB224" s="107"/>
      <c r="AC224" s="107"/>
      <c r="AD224" s="107"/>
      <c r="AE224" s="107"/>
      <c r="AF224" s="107"/>
      <c r="AG224" s="107"/>
      <c r="AH224" s="107"/>
      <c r="AI224" s="107"/>
      <c r="AJ224" s="107"/>
      <c r="AK224" s="107"/>
      <c r="AL224" s="107"/>
      <c r="AM224" s="107"/>
      <c r="AN224" s="107"/>
      <c r="AO224" s="107"/>
      <c r="AP224" s="107"/>
      <c r="AQ224" s="107"/>
      <c r="AR224" s="107"/>
    </row>
    <row r="225" spans="1:44" x14ac:dyDescent="0.3">
      <c r="A225" s="107"/>
      <c r="B225" s="908"/>
      <c r="C225" s="908"/>
      <c r="D225" s="909"/>
      <c r="E225" s="910"/>
      <c r="F225" s="911"/>
      <c r="G225" s="912"/>
      <c r="H225" s="17"/>
      <c r="I225" s="79"/>
      <c r="Z225" s="107"/>
      <c r="AA225" s="107"/>
      <c r="AB225" s="107"/>
      <c r="AC225" s="107"/>
      <c r="AD225" s="107"/>
      <c r="AE225" s="107"/>
      <c r="AF225" s="107"/>
      <c r="AG225" s="107"/>
      <c r="AH225" s="107"/>
      <c r="AI225" s="107"/>
      <c r="AJ225" s="107"/>
      <c r="AK225" s="107"/>
      <c r="AL225" s="107"/>
      <c r="AM225" s="107"/>
      <c r="AN225" s="107"/>
      <c r="AO225" s="107"/>
      <c r="AP225" s="107"/>
      <c r="AQ225" s="107"/>
      <c r="AR225" s="107"/>
    </row>
    <row r="226" spans="1:44" ht="108" customHeight="1" x14ac:dyDescent="0.3">
      <c r="A226" s="107"/>
      <c r="B226" s="591"/>
      <c r="C226" s="591"/>
      <c r="D226" s="791" t="s">
        <v>1622</v>
      </c>
      <c r="E226" s="1"/>
      <c r="F226" s="383"/>
      <c r="G226" s="772"/>
      <c r="H226" s="17"/>
      <c r="I226" s="79"/>
      <c r="Z226" s="107"/>
      <c r="AA226" s="107"/>
      <c r="AB226" s="107"/>
      <c r="AC226" s="107"/>
      <c r="AD226" s="107"/>
      <c r="AE226" s="107"/>
      <c r="AF226" s="107"/>
      <c r="AG226" s="107"/>
      <c r="AH226" s="107"/>
      <c r="AI226" s="107"/>
      <c r="AJ226" s="107"/>
      <c r="AK226" s="107"/>
      <c r="AL226" s="107"/>
      <c r="AM226" s="107"/>
      <c r="AN226" s="107"/>
      <c r="AO226" s="107"/>
      <c r="AP226" s="107"/>
      <c r="AQ226" s="107"/>
      <c r="AR226" s="107"/>
    </row>
    <row r="227" spans="1:44" ht="48.75" customHeight="1" x14ac:dyDescent="0.3">
      <c r="A227" s="107"/>
      <c r="B227" s="591"/>
      <c r="C227" s="591"/>
      <c r="D227" s="24" t="s">
        <v>1623</v>
      </c>
      <c r="E227" s="1"/>
      <c r="F227" s="383"/>
      <c r="G227" s="772"/>
      <c r="H227" s="17"/>
      <c r="I227" s="79"/>
      <c r="Z227" s="107"/>
      <c r="AA227" s="107"/>
      <c r="AB227" s="107"/>
      <c r="AC227" s="107"/>
      <c r="AD227" s="107"/>
      <c r="AE227" s="107"/>
      <c r="AF227" s="107"/>
      <c r="AG227" s="107"/>
      <c r="AH227" s="107"/>
      <c r="AI227" s="107"/>
      <c r="AJ227" s="107"/>
      <c r="AK227" s="107"/>
      <c r="AL227" s="107"/>
      <c r="AM227" s="107"/>
      <c r="AN227" s="107"/>
      <c r="AO227" s="107"/>
      <c r="AP227" s="107"/>
      <c r="AQ227" s="107"/>
      <c r="AR227" s="107"/>
    </row>
    <row r="228" spans="1:44" ht="51.75" customHeight="1" x14ac:dyDescent="0.3">
      <c r="A228" s="107">
        <v>327</v>
      </c>
      <c r="B228" s="703" t="s">
        <v>37</v>
      </c>
      <c r="C228" s="703" t="s">
        <v>174</v>
      </c>
      <c r="D228" s="792" t="s">
        <v>1624</v>
      </c>
      <c r="E228" s="701" t="e">
        <f>HLOOKUP($D$2,'2020 Data(H)'!$C$1:$CZ$428,94,FALSE)</f>
        <v>#N/A</v>
      </c>
      <c r="F228" s="273">
        <v>0</v>
      </c>
      <c r="G228" s="772"/>
      <c r="H228" s="17"/>
      <c r="I228" s="764"/>
      <c r="Z228" s="107"/>
      <c r="AA228" s="107"/>
      <c r="AB228" s="107"/>
      <c r="AC228" s="107"/>
      <c r="AD228" s="107"/>
      <c r="AE228" s="107"/>
      <c r="AF228" s="107"/>
      <c r="AG228" s="107"/>
      <c r="AH228" s="107"/>
      <c r="AI228" s="107"/>
      <c r="AJ228" s="107"/>
      <c r="AK228" s="107"/>
      <c r="AL228" s="107"/>
      <c r="AM228" s="107"/>
      <c r="AN228" s="107"/>
      <c r="AO228" s="107"/>
      <c r="AP228" s="107"/>
      <c r="AQ228" s="107"/>
      <c r="AR228" s="107"/>
    </row>
    <row r="229" spans="1:44" ht="51.75" customHeight="1" x14ac:dyDescent="0.3">
      <c r="A229" s="107">
        <v>328</v>
      </c>
      <c r="B229" s="703" t="s">
        <v>37</v>
      </c>
      <c r="C229" s="703" t="s">
        <v>174</v>
      </c>
      <c r="D229" s="30" t="s">
        <v>7</v>
      </c>
      <c r="E229" s="701" t="e">
        <f>HLOOKUP($D$2,'2020 Data(H)'!$C$1:$CZ$428,95,FALSE)</f>
        <v>#N/A</v>
      </c>
      <c r="F229" s="273">
        <v>0</v>
      </c>
      <c r="G229" s="772"/>
      <c r="H229" s="17"/>
      <c r="I229" s="764"/>
      <c r="Z229" s="107"/>
      <c r="AA229" s="107"/>
      <c r="AB229" s="107"/>
      <c r="AC229" s="107"/>
      <c r="AD229" s="107"/>
      <c r="AE229" s="107"/>
      <c r="AF229" s="107"/>
      <c r="AG229" s="107"/>
      <c r="AH229" s="107"/>
      <c r="AI229" s="107"/>
      <c r="AJ229" s="107"/>
      <c r="AK229" s="107"/>
      <c r="AL229" s="107"/>
      <c r="AM229" s="107"/>
      <c r="AN229" s="107"/>
      <c r="AO229" s="107"/>
      <c r="AP229" s="107"/>
      <c r="AQ229" s="107"/>
      <c r="AR229" s="107"/>
    </row>
    <row r="230" spans="1:44" ht="42" customHeight="1" x14ac:dyDescent="0.3">
      <c r="A230" s="107"/>
      <c r="B230" s="591"/>
      <c r="C230" s="591"/>
      <c r="D230" s="31" t="s">
        <v>1625</v>
      </c>
      <c r="E230" s="100" t="e">
        <f>SUM(E228:E229)</f>
        <v>#N/A</v>
      </c>
      <c r="F230" s="100">
        <f>SUM(F228:F229)</f>
        <v>0</v>
      </c>
      <c r="G230" s="772"/>
      <c r="H230" s="17"/>
      <c r="I230" s="79"/>
      <c r="Z230" s="107"/>
      <c r="AA230" s="107"/>
      <c r="AB230" s="107"/>
      <c r="AC230" s="107"/>
      <c r="AD230" s="107"/>
      <c r="AE230" s="107"/>
      <c r="AF230" s="107"/>
      <c r="AG230" s="107"/>
      <c r="AH230" s="107"/>
      <c r="AI230" s="107"/>
      <c r="AJ230" s="107"/>
      <c r="AK230" s="107"/>
      <c r="AL230" s="107"/>
      <c r="AM230" s="107"/>
      <c r="AN230" s="107"/>
      <c r="AO230" s="107"/>
      <c r="AP230" s="107"/>
      <c r="AQ230" s="107"/>
      <c r="AR230" s="107"/>
    </row>
    <row r="231" spans="1:44" ht="28.8" x14ac:dyDescent="0.3">
      <c r="A231" s="107"/>
      <c r="B231" s="591"/>
      <c r="C231" s="591"/>
      <c r="D231" s="24" t="s">
        <v>1626</v>
      </c>
      <c r="E231" s="1"/>
      <c r="F231" s="383"/>
      <c r="G231" s="772"/>
      <c r="H231" s="17"/>
      <c r="I231" s="79"/>
      <c r="Z231" s="107"/>
      <c r="AA231" s="107"/>
      <c r="AB231" s="107"/>
      <c r="AC231" s="107"/>
      <c r="AD231" s="107"/>
      <c r="AE231" s="107"/>
      <c r="AF231" s="107"/>
      <c r="AG231" s="107"/>
      <c r="AH231" s="107"/>
      <c r="AI231" s="107"/>
      <c r="AJ231" s="107"/>
      <c r="AK231" s="107"/>
      <c r="AL231" s="107"/>
      <c r="AM231" s="107"/>
      <c r="AN231" s="107"/>
      <c r="AO231" s="107"/>
      <c r="AP231" s="107"/>
      <c r="AQ231" s="107"/>
      <c r="AR231" s="107"/>
    </row>
    <row r="232" spans="1:44" ht="24" customHeight="1" x14ac:dyDescent="0.3">
      <c r="A232" s="107"/>
      <c r="B232" s="591"/>
      <c r="C232" s="591"/>
      <c r="D232" s="28" t="s">
        <v>9</v>
      </c>
      <c r="F232" s="793"/>
      <c r="G232" s="772"/>
      <c r="H232" s="17"/>
      <c r="I232" s="79"/>
      <c r="Z232" s="107"/>
      <c r="AA232" s="107"/>
      <c r="AB232" s="107"/>
      <c r="AC232" s="107"/>
      <c r="AD232" s="107"/>
      <c r="AE232" s="107"/>
      <c r="AF232" s="107"/>
      <c r="AG232" s="107"/>
      <c r="AH232" s="107"/>
      <c r="AI232" s="107"/>
      <c r="AJ232" s="107"/>
      <c r="AK232" s="107"/>
      <c r="AL232" s="107"/>
      <c r="AM232" s="107"/>
      <c r="AN232" s="107"/>
      <c r="AO232" s="107"/>
      <c r="AP232" s="107"/>
      <c r="AQ232" s="107"/>
      <c r="AR232" s="107"/>
    </row>
    <row r="233" spans="1:44" ht="52.5" customHeight="1" x14ac:dyDescent="0.3">
      <c r="A233" s="107">
        <v>515</v>
      </c>
      <c r="B233" s="703" t="s">
        <v>526</v>
      </c>
      <c r="C233" s="703" t="s">
        <v>175</v>
      </c>
      <c r="D233" s="32" t="s">
        <v>3</v>
      </c>
      <c r="E233" s="701" t="e">
        <f>HLOOKUP($D$2,'2020 Data(H)'!$C$1:$CZ$428,165,FALSE)</f>
        <v>#N/A</v>
      </c>
      <c r="F233" s="302">
        <v>0</v>
      </c>
      <c r="G233" s="762"/>
      <c r="H233" s="17"/>
      <c r="I233" s="79"/>
      <c r="Z233" s="107"/>
      <c r="AA233" s="107"/>
      <c r="AB233" s="107"/>
      <c r="AC233" s="107"/>
      <c r="AD233" s="107"/>
      <c r="AE233" s="107"/>
      <c r="AF233" s="107"/>
      <c r="AG233" s="107"/>
      <c r="AH233" s="107"/>
      <c r="AI233" s="107"/>
      <c r="AJ233" s="107"/>
      <c r="AK233" s="107"/>
      <c r="AL233" s="107"/>
      <c r="AM233" s="107"/>
      <c r="AN233" s="107"/>
      <c r="AO233" s="107"/>
      <c r="AP233" s="107"/>
      <c r="AQ233" s="107"/>
      <c r="AR233" s="107"/>
    </row>
    <row r="234" spans="1:44" ht="57" customHeight="1" x14ac:dyDescent="0.3">
      <c r="A234" s="107">
        <v>516</v>
      </c>
      <c r="B234" s="703" t="s">
        <v>526</v>
      </c>
      <c r="C234" s="703" t="s">
        <v>175</v>
      </c>
      <c r="D234" s="32" t="s">
        <v>4</v>
      </c>
      <c r="E234" s="701" t="e">
        <f>HLOOKUP($D$2,'2020 Data(H)'!$C$1:$CZ$428,166,FALSE)</f>
        <v>#N/A</v>
      </c>
      <c r="F234" s="302">
        <v>0</v>
      </c>
      <c r="G234" s="762"/>
      <c r="H234" s="17"/>
      <c r="I234" s="79"/>
      <c r="Z234" s="107"/>
      <c r="AA234" s="107"/>
      <c r="AB234" s="107"/>
      <c r="AC234" s="107"/>
      <c r="AD234" s="107"/>
      <c r="AE234" s="107"/>
      <c r="AF234" s="107"/>
      <c r="AG234" s="107"/>
      <c r="AH234" s="107"/>
      <c r="AI234" s="107"/>
      <c r="AJ234" s="107"/>
      <c r="AK234" s="107"/>
      <c r="AL234" s="107"/>
      <c r="AM234" s="107"/>
      <c r="AN234" s="107"/>
      <c r="AO234" s="107"/>
      <c r="AP234" s="107"/>
      <c r="AQ234" s="107"/>
      <c r="AR234" s="107"/>
    </row>
    <row r="235" spans="1:44" ht="60.75" customHeight="1" x14ac:dyDescent="0.3">
      <c r="A235" s="107">
        <v>517</v>
      </c>
      <c r="B235" s="703" t="s">
        <v>526</v>
      </c>
      <c r="C235" s="703" t="s">
        <v>175</v>
      </c>
      <c r="D235" s="32" t="s">
        <v>5</v>
      </c>
      <c r="E235" s="701" t="e">
        <f>HLOOKUP($D$2,'2020 Data(H)'!$C$1:$CZ$428,167,FALSE)</f>
        <v>#N/A</v>
      </c>
      <c r="F235" s="302">
        <v>0</v>
      </c>
      <c r="G235" s="762"/>
      <c r="H235" s="17"/>
      <c r="I235" s="79"/>
      <c r="Z235" s="107"/>
      <c r="AA235" s="107"/>
      <c r="AB235" s="107"/>
      <c r="AC235" s="107"/>
      <c r="AD235" s="107"/>
      <c r="AE235" s="107"/>
      <c r="AF235" s="107"/>
      <c r="AG235" s="107"/>
      <c r="AH235" s="107"/>
      <c r="AI235" s="107"/>
      <c r="AJ235" s="107"/>
      <c r="AK235" s="107"/>
      <c r="AL235" s="107"/>
      <c r="AM235" s="107"/>
      <c r="AN235" s="107"/>
      <c r="AO235" s="107"/>
      <c r="AP235" s="107"/>
      <c r="AQ235" s="107"/>
      <c r="AR235" s="107"/>
    </row>
    <row r="236" spans="1:44" ht="66" customHeight="1" x14ac:dyDescent="0.3">
      <c r="A236" s="107">
        <v>518</v>
      </c>
      <c r="B236" s="703" t="s">
        <v>526</v>
      </c>
      <c r="C236" s="703" t="s">
        <v>175</v>
      </c>
      <c r="D236" s="32" t="s">
        <v>39</v>
      </c>
      <c r="E236" s="701" t="e">
        <f>HLOOKUP($D$2,'2020 Data(H)'!$C$1:$CZ$428,168,FALSE)</f>
        <v>#N/A</v>
      </c>
      <c r="F236" s="302">
        <v>0</v>
      </c>
      <c r="G236" s="762"/>
      <c r="H236" s="17"/>
      <c r="I236" s="79"/>
      <c r="Z236" s="107"/>
      <c r="AA236" s="107"/>
      <c r="AB236" s="107"/>
      <c r="AC236" s="107"/>
      <c r="AD236" s="107"/>
      <c r="AE236" s="107"/>
      <c r="AF236" s="107"/>
      <c r="AG236" s="107"/>
      <c r="AH236" s="107"/>
      <c r="AI236" s="107"/>
      <c r="AJ236" s="107"/>
      <c r="AK236" s="107"/>
      <c r="AL236" s="107"/>
      <c r="AM236" s="107"/>
      <c r="AN236" s="107"/>
      <c r="AO236" s="107"/>
      <c r="AP236" s="107"/>
      <c r="AQ236" s="107"/>
      <c r="AR236" s="107"/>
    </row>
    <row r="237" spans="1:44" ht="51" customHeight="1" x14ac:dyDescent="0.3">
      <c r="A237" s="306"/>
      <c r="B237" s="591"/>
      <c r="C237" s="591"/>
      <c r="D237" s="794" t="s">
        <v>1627</v>
      </c>
      <c r="E237" s="100" t="e">
        <f>SUM(E233:E236)</f>
        <v>#N/A</v>
      </c>
      <c r="F237" s="100">
        <f>SUM(F233:F236)</f>
        <v>0</v>
      </c>
      <c r="G237" s="772"/>
      <c r="H237" s="17"/>
      <c r="I237" s="79"/>
      <c r="Z237" s="306"/>
      <c r="AA237" s="306"/>
      <c r="AB237" s="306"/>
      <c r="AC237" s="306"/>
      <c r="AD237" s="306"/>
      <c r="AE237" s="306"/>
      <c r="AF237" s="306"/>
      <c r="AG237" s="306"/>
      <c r="AH237" s="306"/>
      <c r="AI237" s="306"/>
      <c r="AJ237" s="306"/>
      <c r="AK237" s="306"/>
      <c r="AL237" s="306"/>
      <c r="AM237" s="306"/>
      <c r="AN237" s="306"/>
      <c r="AO237" s="306"/>
      <c r="AP237" s="306"/>
      <c r="AQ237" s="306"/>
      <c r="AR237" s="306"/>
    </row>
    <row r="238" spans="1:44" ht="30.75" customHeight="1" x14ac:dyDescent="0.3">
      <c r="A238" s="107"/>
      <c r="B238" s="591"/>
      <c r="C238" s="591"/>
      <c r="D238" s="28" t="s">
        <v>48</v>
      </c>
      <c r="E238" s="1"/>
      <c r="F238" s="383"/>
      <c r="G238" s="772"/>
      <c r="H238" s="17"/>
      <c r="I238" s="79"/>
      <c r="Z238" s="107"/>
      <c r="AA238" s="107"/>
      <c r="AB238" s="107"/>
      <c r="AC238" s="107"/>
      <c r="AD238" s="107"/>
      <c r="AE238" s="107"/>
      <c r="AF238" s="107"/>
      <c r="AG238" s="107"/>
      <c r="AH238" s="107"/>
      <c r="AI238" s="107"/>
      <c r="AJ238" s="107"/>
      <c r="AK238" s="107"/>
      <c r="AL238" s="107"/>
      <c r="AM238" s="107"/>
      <c r="AN238" s="107"/>
      <c r="AO238" s="107"/>
      <c r="AP238" s="107"/>
      <c r="AQ238" s="107"/>
      <c r="AR238" s="107"/>
    </row>
    <row r="239" spans="1:44" ht="63" customHeight="1" x14ac:dyDescent="0.3">
      <c r="A239" s="107">
        <v>519</v>
      </c>
      <c r="B239" s="703" t="s">
        <v>37</v>
      </c>
      <c r="C239" s="703" t="s">
        <v>176</v>
      </c>
      <c r="D239" s="32" t="s">
        <v>14</v>
      </c>
      <c r="E239" s="701" t="e">
        <f>HLOOKUP($D$2,'2020 Data(H)'!$C$1:$CZ$428,169,FALSE)</f>
        <v>#N/A</v>
      </c>
      <c r="F239" s="302">
        <v>0</v>
      </c>
      <c r="G239" s="762">
        <f>IF(F239&lt;0,"Error: Enter as positive.",)</f>
        <v>0</v>
      </c>
      <c r="H239" s="17"/>
      <c r="I239" s="79"/>
      <c r="Z239" s="107"/>
      <c r="AA239" s="107"/>
      <c r="AB239" s="107"/>
      <c r="AC239" s="107"/>
      <c r="AD239" s="107"/>
      <c r="AE239" s="107"/>
      <c r="AF239" s="107"/>
      <c r="AG239" s="107"/>
      <c r="AH239" s="107"/>
      <c r="AI239" s="107"/>
      <c r="AJ239" s="107"/>
      <c r="AK239" s="107"/>
      <c r="AL239" s="107"/>
      <c r="AM239" s="107"/>
      <c r="AN239" s="107"/>
      <c r="AO239" s="107"/>
      <c r="AP239" s="107"/>
      <c r="AQ239" s="107"/>
      <c r="AR239" s="107"/>
    </row>
    <row r="240" spans="1:44" ht="69.75" customHeight="1" x14ac:dyDescent="0.3">
      <c r="A240" s="107">
        <v>520</v>
      </c>
      <c r="B240" s="703" t="s">
        <v>37</v>
      </c>
      <c r="C240" s="703" t="s">
        <v>176</v>
      </c>
      <c r="D240" s="32" t="s">
        <v>16</v>
      </c>
      <c r="E240" s="701" t="e">
        <f>HLOOKUP($D$2,'2020 Data(H)'!$C$1:$CZ$428,170,FALSE)</f>
        <v>#N/A</v>
      </c>
      <c r="F240" s="302">
        <v>0</v>
      </c>
      <c r="G240" s="762">
        <f>IF(F240&lt;0,"Error: Enter as positive.",)</f>
        <v>0</v>
      </c>
      <c r="H240" s="17"/>
      <c r="I240" s="79"/>
      <c r="Z240" s="107"/>
      <c r="AA240" s="107"/>
      <c r="AB240" s="107"/>
      <c r="AC240" s="107"/>
      <c r="AD240" s="107"/>
      <c r="AE240" s="107"/>
      <c r="AF240" s="107"/>
      <c r="AG240" s="107"/>
      <c r="AH240" s="107"/>
      <c r="AI240" s="107"/>
      <c r="AJ240" s="107"/>
      <c r="AK240" s="107"/>
      <c r="AL240" s="107"/>
      <c r="AM240" s="107"/>
      <c r="AN240" s="107"/>
      <c r="AO240" s="107"/>
      <c r="AP240" s="107"/>
      <c r="AQ240" s="107"/>
      <c r="AR240" s="107"/>
    </row>
    <row r="241" spans="1:44" ht="72" customHeight="1" x14ac:dyDescent="0.3">
      <c r="A241" s="107">
        <v>521</v>
      </c>
      <c r="B241" s="703" t="s">
        <v>37</v>
      </c>
      <c r="C241" s="703" t="s">
        <v>176</v>
      </c>
      <c r="D241" s="32" t="s">
        <v>18</v>
      </c>
      <c r="E241" s="701" t="e">
        <f>HLOOKUP($D$2,'2020 Data(H)'!$C$1:$CZ$428,171,FALSE)</f>
        <v>#N/A</v>
      </c>
      <c r="F241" s="302">
        <v>0</v>
      </c>
      <c r="G241" s="762">
        <f>IF(F241&lt;0,"Error: Enter as positive.",)</f>
        <v>0</v>
      </c>
      <c r="H241" s="17"/>
      <c r="I241" s="79"/>
      <c r="Z241" s="107"/>
      <c r="AA241" s="107"/>
      <c r="AB241" s="107"/>
      <c r="AC241" s="107"/>
      <c r="AD241" s="107"/>
      <c r="AE241" s="107"/>
      <c r="AF241" s="107"/>
      <c r="AG241" s="107"/>
      <c r="AH241" s="107"/>
      <c r="AI241" s="107"/>
      <c r="AJ241" s="107"/>
      <c r="AK241" s="107"/>
      <c r="AL241" s="107"/>
      <c r="AM241" s="107"/>
      <c r="AN241" s="107"/>
      <c r="AO241" s="107"/>
      <c r="AP241" s="107"/>
      <c r="AQ241" s="107"/>
      <c r="AR241" s="107"/>
    </row>
    <row r="242" spans="1:44" ht="74.25" customHeight="1" x14ac:dyDescent="0.3">
      <c r="A242" s="107">
        <v>522</v>
      </c>
      <c r="B242" s="703" t="s">
        <v>37</v>
      </c>
      <c r="C242" s="703" t="s">
        <v>176</v>
      </c>
      <c r="D242" s="32" t="s">
        <v>40</v>
      </c>
      <c r="E242" s="701" t="e">
        <f>HLOOKUP($D$2,'2020 Data(H)'!$C$1:$CZ$428,172,FALSE)</f>
        <v>#N/A</v>
      </c>
      <c r="F242" s="302">
        <v>0</v>
      </c>
      <c r="G242" s="762">
        <f>IF(F242&lt;0,"Error: Enter as positive.",)</f>
        <v>0</v>
      </c>
      <c r="H242" s="17"/>
      <c r="I242" s="79"/>
      <c r="Z242" s="107"/>
      <c r="AA242" s="107"/>
      <c r="AB242" s="107"/>
      <c r="AC242" s="107"/>
      <c r="AD242" s="107"/>
      <c r="AE242" s="107"/>
      <c r="AF242" s="107"/>
      <c r="AG242" s="107"/>
      <c r="AH242" s="107"/>
      <c r="AI242" s="107"/>
      <c r="AJ242" s="107"/>
      <c r="AK242" s="107"/>
      <c r="AL242" s="107"/>
      <c r="AM242" s="107"/>
      <c r="AN242" s="107"/>
      <c r="AO242" s="107"/>
      <c r="AP242" s="107"/>
      <c r="AQ242" s="107"/>
      <c r="AR242" s="107"/>
    </row>
    <row r="243" spans="1:44" ht="31.5" customHeight="1" x14ac:dyDescent="0.3">
      <c r="A243" s="6"/>
      <c r="B243" s="591"/>
      <c r="C243" s="591"/>
      <c r="D243" s="795" t="s">
        <v>34</v>
      </c>
      <c r="E243" s="100" t="e">
        <f>SUM(E239:E242)</f>
        <v>#N/A</v>
      </c>
      <c r="F243" s="100">
        <f>SUM(F239:F242)</f>
        <v>0</v>
      </c>
      <c r="G243" s="130"/>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91"/>
      <c r="C244" s="591"/>
      <c r="D244" s="28" t="s">
        <v>32</v>
      </c>
      <c r="E244" s="6"/>
      <c r="F244" s="796"/>
      <c r="G244" s="130"/>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7">
        <v>523</v>
      </c>
      <c r="B245" s="703" t="s">
        <v>526</v>
      </c>
      <c r="C245" s="703" t="s">
        <v>177</v>
      </c>
      <c r="D245" s="32" t="s">
        <v>15</v>
      </c>
      <c r="E245" s="701" t="e">
        <f>HLOOKUP($D$2,'2020 Data(H)'!$C$1:$CZ$428,173,FALSE)</f>
        <v>#N/A</v>
      </c>
      <c r="F245" s="302">
        <v>0</v>
      </c>
      <c r="G245" s="762">
        <f>IF(F245&lt;0,"Error: Enter as positive.",)</f>
        <v>0</v>
      </c>
      <c r="H245" s="17"/>
      <c r="I245" s="79"/>
      <c r="Z245" s="107"/>
      <c r="AA245" s="107"/>
      <c r="AB245" s="107"/>
      <c r="AC245" s="107"/>
      <c r="AD245" s="107"/>
      <c r="AE245" s="107"/>
      <c r="AF245" s="107"/>
      <c r="AG245" s="107"/>
      <c r="AH245" s="107"/>
      <c r="AI245" s="107"/>
      <c r="AJ245" s="107"/>
      <c r="AK245" s="107"/>
      <c r="AL245" s="107"/>
      <c r="AM245" s="107"/>
      <c r="AN245" s="107"/>
      <c r="AO245" s="107"/>
      <c r="AP245" s="107"/>
      <c r="AQ245" s="107"/>
      <c r="AR245" s="107"/>
    </row>
    <row r="246" spans="1:44" ht="75" customHeight="1" x14ac:dyDescent="0.3">
      <c r="A246" s="107">
        <v>524</v>
      </c>
      <c r="B246" s="703" t="s">
        <v>526</v>
      </c>
      <c r="C246" s="703" t="s">
        <v>177</v>
      </c>
      <c r="D246" s="32" t="s">
        <v>17</v>
      </c>
      <c r="E246" s="701" t="e">
        <f>HLOOKUP($D$2,'2020 Data(H)'!$C$1:$CZ$428,174,FALSE)</f>
        <v>#N/A</v>
      </c>
      <c r="F246" s="302">
        <v>0</v>
      </c>
      <c r="G246" s="762">
        <f>IF(F246&lt;0,"Error: Enter as positive.",)</f>
        <v>0</v>
      </c>
      <c r="H246" s="17"/>
      <c r="I246" s="79"/>
      <c r="Z246" s="107"/>
      <c r="AA246" s="107"/>
      <c r="AB246" s="107"/>
      <c r="AC246" s="107"/>
      <c r="AD246" s="107"/>
      <c r="AE246" s="107"/>
      <c r="AF246" s="107"/>
      <c r="AG246" s="107"/>
      <c r="AH246" s="107"/>
      <c r="AI246" s="107"/>
      <c r="AJ246" s="107"/>
      <c r="AK246" s="107"/>
      <c r="AL246" s="107"/>
      <c r="AM246" s="107"/>
      <c r="AN246" s="107"/>
      <c r="AO246" s="107"/>
      <c r="AP246" s="107"/>
      <c r="AQ246" s="107"/>
      <c r="AR246" s="107"/>
    </row>
    <row r="247" spans="1:44" ht="75" customHeight="1" x14ac:dyDescent="0.3">
      <c r="A247" s="107">
        <v>525</v>
      </c>
      <c r="B247" s="703" t="s">
        <v>526</v>
      </c>
      <c r="C247" s="703" t="s">
        <v>177</v>
      </c>
      <c r="D247" s="32" t="s">
        <v>19</v>
      </c>
      <c r="E247" s="701" t="e">
        <f>HLOOKUP($D$2,'2020 Data(H)'!$C$1:$CZ$428,175,FALSE)</f>
        <v>#N/A</v>
      </c>
      <c r="F247" s="302">
        <v>0</v>
      </c>
      <c r="G247" s="762">
        <f>IF(F247&lt;0,"Error: Enter as positive.",)</f>
        <v>0</v>
      </c>
      <c r="H247" s="17"/>
      <c r="I247" s="79"/>
      <c r="Z247" s="107"/>
      <c r="AA247" s="107"/>
      <c r="AB247" s="107"/>
      <c r="AC247" s="107"/>
      <c r="AD247" s="107"/>
      <c r="AE247" s="107"/>
      <c r="AF247" s="107"/>
      <c r="AG247" s="107"/>
      <c r="AH247" s="107"/>
      <c r="AI247" s="107"/>
      <c r="AJ247" s="107"/>
      <c r="AK247" s="107"/>
      <c r="AL247" s="107"/>
      <c r="AM247" s="107"/>
      <c r="AN247" s="107"/>
      <c r="AO247" s="107"/>
      <c r="AP247" s="107"/>
      <c r="AQ247" s="107"/>
      <c r="AR247" s="107"/>
    </row>
    <row r="248" spans="1:44" ht="76.5" customHeight="1" x14ac:dyDescent="0.3">
      <c r="A248" s="107">
        <v>526</v>
      </c>
      <c r="B248" s="703" t="s">
        <v>526</v>
      </c>
      <c r="C248" s="703" t="s">
        <v>177</v>
      </c>
      <c r="D248" s="32" t="s">
        <v>41</v>
      </c>
      <c r="E248" s="701" t="e">
        <f>HLOOKUP($D$2,'2020 Data(H)'!$C$1:$CZ$428,176,FALSE)</f>
        <v>#N/A</v>
      </c>
      <c r="F248" s="302">
        <v>0</v>
      </c>
      <c r="G248" s="762">
        <f>IF(F248&lt;0,"Error: Enter as positive.",)</f>
        <v>0</v>
      </c>
      <c r="H248" s="17"/>
      <c r="I248" s="79"/>
      <c r="Z248" s="107"/>
      <c r="AA248" s="107"/>
      <c r="AB248" s="107"/>
      <c r="AC248" s="107"/>
      <c r="AD248" s="107"/>
      <c r="AE248" s="107"/>
      <c r="AF248" s="107"/>
      <c r="AG248" s="107"/>
      <c r="AH248" s="107"/>
      <c r="AI248" s="107"/>
      <c r="AJ248" s="107"/>
      <c r="AK248" s="107"/>
      <c r="AL248" s="107"/>
      <c r="AM248" s="107"/>
      <c r="AN248" s="107"/>
      <c r="AO248" s="107"/>
      <c r="AP248" s="107"/>
      <c r="AQ248" s="107"/>
      <c r="AR248" s="107"/>
    </row>
    <row r="249" spans="1:44" ht="24.75" customHeight="1" x14ac:dyDescent="0.3">
      <c r="A249" s="107"/>
      <c r="B249" s="863"/>
      <c r="C249" s="863"/>
      <c r="D249" s="795" t="s">
        <v>33</v>
      </c>
      <c r="E249" s="100" t="e">
        <f>SUM(E245:E248)</f>
        <v>#N/A</v>
      </c>
      <c r="F249" s="100">
        <f>SUM(F245:F248)</f>
        <v>0</v>
      </c>
      <c r="G249" s="772"/>
      <c r="H249" s="17"/>
      <c r="I249" s="79"/>
      <c r="Z249" s="107"/>
      <c r="AA249" s="107"/>
      <c r="AB249" s="107"/>
      <c r="AC249" s="107"/>
      <c r="AD249" s="107"/>
      <c r="AE249" s="107"/>
      <c r="AF249" s="107"/>
      <c r="AG249" s="107"/>
      <c r="AH249" s="107"/>
      <c r="AI249" s="107"/>
      <c r="AJ249" s="107"/>
      <c r="AK249" s="107"/>
      <c r="AL249" s="107"/>
      <c r="AM249" s="107"/>
      <c r="AN249" s="107"/>
      <c r="AO249" s="107"/>
      <c r="AP249" s="107"/>
      <c r="AQ249" s="107"/>
      <c r="AR249" s="107"/>
    </row>
    <row r="250" spans="1:44" ht="61.5" customHeight="1" x14ac:dyDescent="0.3">
      <c r="A250" s="107"/>
      <c r="B250" s="863"/>
      <c r="C250" s="863"/>
      <c r="D250" s="797" t="s">
        <v>35</v>
      </c>
      <c r="E250" s="100" t="e">
        <f>E230+E237-E249</f>
        <v>#N/A</v>
      </c>
      <c r="F250" s="100">
        <f>F230+F237-F249</f>
        <v>0</v>
      </c>
      <c r="G250" s="772"/>
      <c r="H250" s="17"/>
      <c r="I250" s="79"/>
      <c r="J250" s="607"/>
      <c r="Z250" s="107"/>
      <c r="AA250" s="107"/>
      <c r="AB250" s="107"/>
      <c r="AC250" s="107"/>
      <c r="AD250" s="107"/>
      <c r="AE250" s="107"/>
      <c r="AF250" s="107"/>
      <c r="AG250" s="107"/>
      <c r="AH250" s="107"/>
      <c r="AI250" s="107"/>
      <c r="AJ250" s="107"/>
      <c r="AK250" s="107"/>
      <c r="AL250" s="107"/>
      <c r="AM250" s="107"/>
      <c r="AN250" s="107"/>
      <c r="AO250" s="107"/>
      <c r="AP250" s="107"/>
      <c r="AQ250" s="107"/>
      <c r="AR250" s="107"/>
    </row>
    <row r="251" spans="1:44" ht="21.6" customHeight="1" x14ac:dyDescent="0.3">
      <c r="A251" s="107"/>
      <c r="B251" s="591"/>
      <c r="C251" s="591"/>
      <c r="D251" s="788"/>
      <c r="E251" s="1"/>
      <c r="F251" s="383"/>
      <c r="G251" s="772"/>
      <c r="H251" s="17"/>
      <c r="I251" s="79"/>
      <c r="J251" s="607"/>
      <c r="Z251" s="107"/>
      <c r="AA251" s="107"/>
      <c r="AB251" s="107"/>
      <c r="AC251" s="107"/>
      <c r="AD251" s="107"/>
      <c r="AE251" s="107"/>
      <c r="AF251" s="107"/>
      <c r="AG251" s="107"/>
      <c r="AH251" s="107"/>
      <c r="AI251" s="107"/>
      <c r="AJ251" s="107"/>
      <c r="AK251" s="107"/>
      <c r="AL251" s="107"/>
      <c r="AM251" s="107"/>
      <c r="AN251" s="107"/>
      <c r="AO251" s="107"/>
      <c r="AP251" s="107"/>
      <c r="AQ251" s="107"/>
      <c r="AR251" s="107"/>
    </row>
    <row r="252" spans="1:44" ht="34.5" customHeight="1" x14ac:dyDescent="0.3">
      <c r="A252" s="107"/>
      <c r="B252" s="908"/>
      <c r="C252" s="908"/>
      <c r="D252" s="899" t="s">
        <v>8</v>
      </c>
      <c r="E252" s="910"/>
      <c r="F252" s="911"/>
      <c r="G252" s="912"/>
      <c r="H252" s="17"/>
      <c r="I252" s="79"/>
      <c r="Z252" s="107"/>
      <c r="AA252" s="107"/>
      <c r="AB252" s="107"/>
      <c r="AC252" s="107"/>
      <c r="AD252" s="107"/>
      <c r="AE252" s="107"/>
      <c r="AF252" s="107"/>
      <c r="AG252" s="107"/>
      <c r="AH252" s="107"/>
      <c r="AI252" s="107"/>
      <c r="AJ252" s="107"/>
      <c r="AK252" s="107"/>
      <c r="AL252" s="107"/>
      <c r="AM252" s="107"/>
      <c r="AN252" s="107"/>
      <c r="AO252" s="107"/>
      <c r="AP252" s="107"/>
      <c r="AQ252" s="107"/>
      <c r="AR252" s="107"/>
    </row>
    <row r="253" spans="1:44" ht="55.5" customHeight="1" x14ac:dyDescent="0.3">
      <c r="A253" s="107">
        <v>527</v>
      </c>
      <c r="B253" s="703" t="s">
        <v>58</v>
      </c>
      <c r="C253" s="703" t="s">
        <v>178</v>
      </c>
      <c r="D253" s="29" t="s">
        <v>1628</v>
      </c>
      <c r="E253" s="701" t="e">
        <f>HLOOKUP($D$2,'2020 Data(H)'!$C$1:$CZ$428,177,FALSE)</f>
        <v>#N/A</v>
      </c>
      <c r="F253" s="302">
        <v>0</v>
      </c>
      <c r="G253" s="772"/>
      <c r="H253" s="17"/>
      <c r="I253" s="764"/>
      <c r="Z253" s="107"/>
      <c r="AA253" s="107"/>
      <c r="AB253" s="107"/>
      <c r="AC253" s="107"/>
      <c r="AD253" s="107"/>
      <c r="AE253" s="107"/>
      <c r="AF253" s="107"/>
      <c r="AG253" s="107"/>
      <c r="AH253" s="107"/>
      <c r="AI253" s="107"/>
      <c r="AJ253" s="107"/>
      <c r="AK253" s="107"/>
      <c r="AL253" s="107"/>
      <c r="AM253" s="107"/>
      <c r="AN253" s="107"/>
      <c r="AO253" s="107"/>
      <c r="AP253" s="107"/>
      <c r="AQ253" s="107"/>
      <c r="AR253" s="107"/>
    </row>
    <row r="254" spans="1:44" ht="55.5" customHeight="1" x14ac:dyDescent="0.3">
      <c r="A254" s="107">
        <v>356</v>
      </c>
      <c r="B254" s="703" t="s">
        <v>66</v>
      </c>
      <c r="C254" s="703" t="s">
        <v>178</v>
      </c>
      <c r="D254" s="106" t="s">
        <v>20</v>
      </c>
      <c r="E254" s="701" t="e">
        <f>HLOOKUP($D$2,'2020 Data(H)'!$C$1:$CZ$428,118,FALSE)</f>
        <v>#N/A</v>
      </c>
      <c r="F254" s="302">
        <v>0</v>
      </c>
      <c r="G254" s="772"/>
      <c r="H254" s="17"/>
      <c r="I254" s="764"/>
      <c r="Z254" s="107"/>
      <c r="AA254" s="107"/>
      <c r="AB254" s="107"/>
      <c r="AC254" s="107"/>
      <c r="AD254" s="107"/>
      <c r="AE254" s="107"/>
      <c r="AF254" s="107"/>
      <c r="AG254" s="107"/>
      <c r="AH254" s="107"/>
      <c r="AI254" s="107"/>
      <c r="AJ254" s="107"/>
      <c r="AK254" s="107"/>
      <c r="AL254" s="107"/>
      <c r="AM254" s="107"/>
      <c r="AN254" s="107"/>
      <c r="AO254" s="107"/>
      <c r="AP254" s="107"/>
      <c r="AQ254" s="107"/>
      <c r="AR254" s="107"/>
    </row>
    <row r="255" spans="1:44" ht="55.5" customHeight="1" x14ac:dyDescent="0.3">
      <c r="A255" s="107">
        <v>357</v>
      </c>
      <c r="B255" s="703" t="s">
        <v>56</v>
      </c>
      <c r="C255" s="703" t="s">
        <v>179</v>
      </c>
      <c r="D255" s="106" t="s">
        <v>21</v>
      </c>
      <c r="E255" s="701" t="e">
        <f>HLOOKUP($D$2,'2020 Data(H)'!$C$1:$CZ$428,119,FALSE)</f>
        <v>#N/A</v>
      </c>
      <c r="F255" s="302">
        <v>0</v>
      </c>
      <c r="G255" s="762">
        <f>IF(F255&lt;0,"Error: Enter as positive.",)</f>
        <v>0</v>
      </c>
      <c r="H255" s="17"/>
      <c r="I255" s="764"/>
      <c r="Z255" s="107"/>
      <c r="AA255" s="107"/>
      <c r="AB255" s="107"/>
      <c r="AC255" s="107"/>
      <c r="AD255" s="107"/>
      <c r="AE255" s="107"/>
      <c r="AF255" s="107"/>
      <c r="AG255" s="107"/>
      <c r="AH255" s="107"/>
      <c r="AI255" s="107"/>
      <c r="AJ255" s="107"/>
      <c r="AK255" s="107"/>
      <c r="AL255" s="107"/>
      <c r="AM255" s="107"/>
      <c r="AN255" s="107"/>
      <c r="AO255" s="107"/>
      <c r="AP255" s="107"/>
      <c r="AQ255" s="107"/>
      <c r="AR255" s="107"/>
    </row>
    <row r="256" spans="1:44" s="18" customFormat="1" ht="35.25" customHeight="1" x14ac:dyDescent="0.3">
      <c r="A256" s="107"/>
      <c r="B256" s="897" t="s">
        <v>10</v>
      </c>
      <c r="C256" s="898"/>
      <c r="D256" s="873"/>
      <c r="E256" s="874"/>
      <c r="F256" s="913"/>
      <c r="G256" s="894"/>
      <c r="H256" s="17"/>
      <c r="I256" s="79"/>
      <c r="N256" s="304"/>
      <c r="Z256" s="107"/>
      <c r="AA256" s="107"/>
      <c r="AB256" s="107"/>
      <c r="AC256" s="107"/>
      <c r="AD256" s="107"/>
      <c r="AE256" s="107"/>
      <c r="AF256" s="107"/>
      <c r="AG256" s="107"/>
      <c r="AH256" s="107"/>
      <c r="AI256" s="107"/>
      <c r="AJ256" s="107"/>
      <c r="AK256" s="107"/>
      <c r="AL256" s="107"/>
      <c r="AM256" s="107"/>
      <c r="AN256" s="107"/>
      <c r="AO256" s="107"/>
      <c r="AP256" s="107"/>
      <c r="AQ256" s="107"/>
      <c r="AR256" s="107"/>
    </row>
    <row r="257" spans="1:1881" s="18" customFormat="1" ht="273.75" customHeight="1" x14ac:dyDescent="0.3">
      <c r="A257" s="107">
        <v>337</v>
      </c>
      <c r="B257" s="4" t="s">
        <v>56</v>
      </c>
      <c r="C257" s="4" t="s">
        <v>1629</v>
      </c>
      <c r="D257" s="24" t="s">
        <v>1413</v>
      </c>
      <c r="E257" s="701" t="e">
        <f>HLOOKUP($D$2,'2020 Data(H)'!$C$1:$CZ$428,103,FALSE)</f>
        <v>#N/A</v>
      </c>
      <c r="F257" s="302">
        <v>0</v>
      </c>
      <c r="G257" s="762">
        <f>IF(F257&lt;0,"Error: Enter as positive.",)</f>
        <v>0</v>
      </c>
      <c r="H257" s="17"/>
      <c r="I257" s="79"/>
      <c r="N257" s="304"/>
      <c r="Z257" s="107"/>
      <c r="AA257" s="107"/>
      <c r="AB257" s="107"/>
      <c r="AC257" s="107"/>
      <c r="AD257" s="107"/>
      <c r="AE257" s="107"/>
      <c r="AF257" s="107"/>
      <c r="AG257" s="107"/>
      <c r="AH257" s="107"/>
      <c r="AI257" s="107"/>
      <c r="AJ257" s="107"/>
      <c r="AK257" s="107"/>
      <c r="AL257" s="107"/>
      <c r="AM257" s="107"/>
      <c r="AN257" s="107"/>
      <c r="AO257" s="107"/>
      <c r="AP257" s="107"/>
      <c r="AQ257" s="107"/>
      <c r="AR257" s="107"/>
    </row>
    <row r="258" spans="1:1881" s="18" customFormat="1" ht="81.75" customHeight="1" x14ac:dyDescent="0.3">
      <c r="A258" s="107">
        <v>343</v>
      </c>
      <c r="B258" s="4" t="s">
        <v>56</v>
      </c>
      <c r="C258" s="4" t="s">
        <v>677</v>
      </c>
      <c r="D258" s="29" t="s">
        <v>1630</v>
      </c>
      <c r="E258" s="701" t="e">
        <f>HLOOKUP($D$2,'2020 Data(H)'!$C$1:$CZ$428,109,FALSE)</f>
        <v>#N/A</v>
      </c>
      <c r="F258" s="302">
        <v>0</v>
      </c>
      <c r="G258" s="762">
        <f>IF(F258&lt;0,"Error: Enter as positive.",)</f>
        <v>0</v>
      </c>
      <c r="H258" s="17"/>
      <c r="I258" s="79"/>
      <c r="M258" s="98"/>
      <c r="N258" s="304"/>
      <c r="Z258" s="107"/>
      <c r="AA258" s="107"/>
      <c r="AB258" s="107"/>
      <c r="AC258" s="107"/>
      <c r="AD258" s="107"/>
      <c r="AE258" s="107"/>
      <c r="AF258" s="107"/>
      <c r="AG258" s="107"/>
      <c r="AH258" s="107"/>
      <c r="AI258" s="107"/>
      <c r="AJ258" s="107"/>
      <c r="AK258" s="107"/>
      <c r="AL258" s="107"/>
      <c r="AM258" s="107"/>
      <c r="AN258" s="107"/>
      <c r="AO258" s="107"/>
      <c r="AP258" s="107"/>
      <c r="AQ258" s="107"/>
      <c r="AR258" s="107"/>
    </row>
    <row r="259" spans="1:1881" ht="274.5" customHeight="1" x14ac:dyDescent="0.3">
      <c r="A259" s="107">
        <v>82</v>
      </c>
      <c r="B259" s="4" t="s">
        <v>61</v>
      </c>
      <c r="C259" s="4" t="s">
        <v>1631</v>
      </c>
      <c r="D259" s="24" t="s">
        <v>945</v>
      </c>
      <c r="E259" s="701" t="e">
        <f>HLOOKUP($D$2,'2020 Data(H)'!$C$1:$CZ$428,46,FALSE)</f>
        <v>#N/A</v>
      </c>
      <c r="F259" s="302">
        <v>0</v>
      </c>
      <c r="G259" s="762">
        <f>IF(F259&lt;0,"Error: Enter as positive.",)</f>
        <v>0</v>
      </c>
      <c r="H259" s="17"/>
      <c r="I259" s="798"/>
      <c r="Z259" s="107"/>
      <c r="AA259" s="107"/>
      <c r="AB259" s="107"/>
      <c r="AC259" s="107"/>
      <c r="AD259" s="107"/>
      <c r="AE259" s="107"/>
      <c r="AF259" s="107"/>
      <c r="AG259" s="107"/>
      <c r="AH259" s="107"/>
      <c r="AI259" s="107"/>
      <c r="AJ259" s="107"/>
      <c r="AK259" s="107"/>
      <c r="AL259" s="107"/>
      <c r="AM259" s="107"/>
      <c r="AN259" s="107"/>
      <c r="AO259" s="107"/>
      <c r="AP259" s="107"/>
      <c r="AQ259" s="107"/>
      <c r="AR259" s="107"/>
    </row>
    <row r="260" spans="1:1881" ht="270.75" customHeight="1" x14ac:dyDescent="0.3">
      <c r="A260" s="107">
        <v>359</v>
      </c>
      <c r="B260" s="4" t="s">
        <v>56</v>
      </c>
      <c r="C260" s="4" t="s">
        <v>1632</v>
      </c>
      <c r="D260" s="24" t="s">
        <v>945</v>
      </c>
      <c r="E260" s="701" t="e">
        <f>HLOOKUP($D$2,'2020 Data(H)'!$C$1:$CZ$428,120,FALSE)</f>
        <v>#N/A</v>
      </c>
      <c r="F260" s="302">
        <v>0</v>
      </c>
      <c r="G260" s="762">
        <f>IF(F260&lt;0,"Error: Enter as positive.",)</f>
        <v>0</v>
      </c>
      <c r="H260" s="17"/>
      <c r="I260" s="798"/>
      <c r="J260" s="607"/>
      <c r="L260" s="799" t="str">
        <f>IF(ISBLANK(K258),"",IF(ISBLANK(K259),"",IF(K260=M260,"","Please review percentage")))</f>
        <v/>
      </c>
      <c r="Z260" s="107"/>
      <c r="AA260" s="107"/>
      <c r="AB260" s="107"/>
      <c r="AC260" s="107"/>
      <c r="AD260" s="107"/>
      <c r="AE260" s="107"/>
      <c r="AF260" s="107"/>
      <c r="AG260" s="107"/>
      <c r="AH260" s="107"/>
      <c r="AI260" s="107"/>
      <c r="AJ260" s="107"/>
      <c r="AK260" s="107"/>
      <c r="AL260" s="107"/>
      <c r="AM260" s="107"/>
      <c r="AN260" s="107"/>
      <c r="AO260" s="107"/>
      <c r="AP260" s="107"/>
      <c r="AQ260" s="107"/>
      <c r="AR260" s="107"/>
    </row>
    <row r="261" spans="1:1881" s="801" customFormat="1" ht="33" customHeight="1" x14ac:dyDescent="0.3">
      <c r="A261" s="107"/>
      <c r="B261" s="859" t="s">
        <v>717</v>
      </c>
      <c r="C261" s="860"/>
      <c r="D261" s="96"/>
      <c r="E261" s="800"/>
      <c r="F261" s="786"/>
      <c r="G261" s="761"/>
      <c r="H261" s="17"/>
      <c r="I261" s="798"/>
      <c r="J261" s="18"/>
      <c r="K261" s="18"/>
      <c r="L261" s="18"/>
      <c r="M261" s="18"/>
      <c r="N261" s="304"/>
      <c r="O261" s="18"/>
      <c r="P261" s="18"/>
      <c r="Q261" s="18"/>
      <c r="R261" s="18"/>
      <c r="S261" s="18"/>
      <c r="T261" s="18"/>
      <c r="U261" s="18"/>
      <c r="V261" s="18"/>
      <c r="W261" s="18"/>
      <c r="X261" s="18"/>
      <c r="Y261" s="18"/>
      <c r="Z261" s="107"/>
      <c r="AA261" s="107"/>
      <c r="AB261" s="107"/>
      <c r="AC261" s="107"/>
      <c r="AD261" s="107"/>
      <c r="AE261" s="107"/>
      <c r="AF261" s="107"/>
      <c r="AG261" s="107"/>
      <c r="AH261" s="107"/>
      <c r="AI261" s="107"/>
      <c r="AJ261" s="107"/>
      <c r="AK261" s="107"/>
      <c r="AL261" s="107"/>
      <c r="AM261" s="107"/>
      <c r="AN261" s="107"/>
      <c r="AO261" s="107"/>
      <c r="AP261" s="107"/>
      <c r="AQ261" s="107"/>
      <c r="AR261" s="107"/>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801" customFormat="1" ht="110.25" customHeight="1" x14ac:dyDescent="0.3">
      <c r="A262" s="123">
        <v>622</v>
      </c>
      <c r="B262" s="802" t="s">
        <v>607</v>
      </c>
      <c r="C262" s="123" t="s">
        <v>716</v>
      </c>
      <c r="D262" s="123" t="s">
        <v>1525</v>
      </c>
      <c r="E262" s="701" t="e">
        <f>HLOOKUP($D$2,'2020 Data(H)'!$C$1:$CZ$428,282,FALSE)</f>
        <v>#N/A</v>
      </c>
      <c r="F262" s="302">
        <v>0</v>
      </c>
      <c r="G262" s="762"/>
      <c r="H262" s="17"/>
      <c r="I262" s="798"/>
      <c r="J262" s="18"/>
      <c r="K262" s="18"/>
      <c r="L262" s="18"/>
      <c r="M262" s="18"/>
      <c r="N262" s="304"/>
      <c r="O262" s="18"/>
      <c r="P262" s="18"/>
      <c r="Q262" s="18"/>
      <c r="R262" s="18"/>
      <c r="S262" s="18"/>
      <c r="T262" s="18"/>
      <c r="U262" s="18"/>
      <c r="V262" s="18"/>
      <c r="W262" s="18"/>
      <c r="X262" s="18"/>
      <c r="Y262" s="18"/>
      <c r="Z262" s="123"/>
      <c r="AA262" s="123"/>
      <c r="AB262" s="123"/>
      <c r="AC262" s="123"/>
      <c r="AD262" s="123"/>
      <c r="AE262" s="123"/>
      <c r="AF262" s="123"/>
      <c r="AG262" s="123"/>
      <c r="AH262" s="123"/>
      <c r="AI262" s="123"/>
      <c r="AJ262" s="123"/>
      <c r="AK262" s="123"/>
      <c r="AL262" s="123"/>
      <c r="AM262" s="123"/>
      <c r="AN262" s="123"/>
      <c r="AO262" s="123"/>
      <c r="AP262" s="123"/>
      <c r="AQ262" s="123"/>
      <c r="AR262" s="123"/>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801" customFormat="1" ht="225" customHeight="1" x14ac:dyDescent="0.3">
      <c r="A263" s="107">
        <v>577</v>
      </c>
      <c r="B263" s="703"/>
      <c r="C263" s="703" t="s">
        <v>543</v>
      </c>
      <c r="D263" s="359" t="s">
        <v>674</v>
      </c>
      <c r="E263" s="1235"/>
      <c r="F263" s="302"/>
      <c r="G263" s="803" t="str">
        <f>IF(F263="Yes","In this cell - Please include the name of the plan, a brief description of the benefit and the population group that received the benefits."," ")</f>
        <v xml:space="preserve"> </v>
      </c>
      <c r="H263" s="17"/>
      <c r="I263" s="798"/>
      <c r="J263" s="607"/>
      <c r="K263" s="18"/>
      <c r="L263" s="18"/>
      <c r="M263" s="18"/>
      <c r="N263" s="304"/>
      <c r="O263" s="18"/>
      <c r="P263" s="18"/>
      <c r="Q263" s="18"/>
      <c r="R263" s="18"/>
      <c r="S263" s="18"/>
      <c r="T263" s="18"/>
      <c r="U263" s="18"/>
      <c r="V263" s="18"/>
      <c r="W263" s="18"/>
      <c r="X263" s="18"/>
      <c r="Y263" s="18"/>
      <c r="Z263" s="107"/>
      <c r="AA263" s="107"/>
      <c r="AB263" s="107"/>
      <c r="AC263" s="107"/>
      <c r="AD263" s="107"/>
      <c r="AE263" s="107"/>
      <c r="AF263" s="107"/>
      <c r="AG263" s="107"/>
      <c r="AH263" s="107"/>
      <c r="AI263" s="107"/>
      <c r="AJ263" s="107"/>
      <c r="AK263" s="107"/>
      <c r="AL263" s="107"/>
      <c r="AM263" s="107"/>
      <c r="AN263" s="107"/>
      <c r="AO263" s="107"/>
      <c r="AP263" s="107"/>
      <c r="AQ263" s="107"/>
      <c r="AR263" s="107"/>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801" customFormat="1" ht="30.75" customHeight="1" x14ac:dyDescent="0.3">
      <c r="A264" s="107"/>
      <c r="B264" s="859" t="s">
        <v>528</v>
      </c>
      <c r="C264" s="860"/>
      <c r="D264" s="96"/>
      <c r="E264" s="800"/>
      <c r="F264" s="804"/>
      <c r="G264" s="761"/>
      <c r="H264" s="17"/>
      <c r="I264" s="79"/>
      <c r="J264" s="18"/>
      <c r="K264" s="18"/>
      <c r="L264" s="18"/>
      <c r="M264" s="18"/>
      <c r="N264" s="304"/>
      <c r="O264" s="18"/>
      <c r="P264" s="18"/>
      <c r="Q264" s="18"/>
      <c r="R264" s="18"/>
      <c r="S264" s="18"/>
      <c r="T264" s="18"/>
      <c r="U264" s="18"/>
      <c r="V264" s="18"/>
      <c r="W264" s="18"/>
      <c r="X264" s="18"/>
      <c r="Y264" s="18"/>
      <c r="Z264" s="107"/>
      <c r="AA264" s="107"/>
      <c r="AB264" s="107"/>
      <c r="AC264" s="107"/>
      <c r="AD264" s="107"/>
      <c r="AE264" s="107"/>
      <c r="AF264" s="107"/>
      <c r="AG264" s="107"/>
      <c r="AH264" s="107"/>
      <c r="AI264" s="107"/>
      <c r="AJ264" s="107"/>
      <c r="AK264" s="107"/>
      <c r="AL264" s="107"/>
      <c r="AM264" s="107"/>
      <c r="AN264" s="107"/>
      <c r="AO264" s="107"/>
      <c r="AP264" s="107"/>
      <c r="AQ264" s="107"/>
      <c r="AR264" s="107"/>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801" customFormat="1" ht="81.75" customHeight="1" x14ac:dyDescent="0.3">
      <c r="A265" s="107">
        <v>598</v>
      </c>
      <c r="B265" s="703" t="s">
        <v>59</v>
      </c>
      <c r="C265" s="703" t="s">
        <v>529</v>
      </c>
      <c r="D265" s="740" t="s">
        <v>678</v>
      </c>
      <c r="E265" s="701" t="e">
        <f>HLOOKUP($D$2,'2020 Data(H)'!$C$1:$CZ$428,258,FALSE)</f>
        <v>#N/A</v>
      </c>
      <c r="F265" s="302">
        <v>0</v>
      </c>
      <c r="G265" s="762">
        <f>IF(F265&lt;0,"Error: Enter as positive.",)</f>
        <v>0</v>
      </c>
      <c r="H265" s="762"/>
      <c r="I265" s="798"/>
      <c r="J265" s="607"/>
      <c r="K265" s="18"/>
      <c r="L265" s="18"/>
      <c r="M265" s="18"/>
      <c r="N265" s="304"/>
      <c r="O265" s="18"/>
      <c r="P265" s="18"/>
      <c r="Q265" s="18"/>
      <c r="R265" s="18"/>
      <c r="S265" s="18"/>
      <c r="T265" s="18"/>
      <c r="U265" s="18"/>
      <c r="V265" s="18"/>
      <c r="W265" s="18"/>
      <c r="X265" s="18"/>
      <c r="Y265" s="18"/>
      <c r="Z265" s="107"/>
      <c r="AA265" s="107"/>
      <c r="AB265" s="107"/>
      <c r="AC265" s="107"/>
      <c r="AD265" s="107"/>
      <c r="AE265" s="107"/>
      <c r="AF265" s="107"/>
      <c r="AG265" s="107"/>
      <c r="AH265" s="107"/>
      <c r="AI265" s="107"/>
      <c r="AJ265" s="107"/>
      <c r="AK265" s="107"/>
      <c r="AL265" s="107"/>
      <c r="AM265" s="107"/>
      <c r="AN265" s="107"/>
      <c r="AO265" s="107"/>
      <c r="AP265" s="107"/>
      <c r="AQ265" s="107"/>
      <c r="AR265" s="107"/>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801" customFormat="1" ht="53.25" customHeight="1" x14ac:dyDescent="0.3">
      <c r="A266" s="107">
        <v>599</v>
      </c>
      <c r="B266" s="703" t="s">
        <v>59</v>
      </c>
      <c r="C266" s="703" t="s">
        <v>529</v>
      </c>
      <c r="D266" s="29" t="s">
        <v>679</v>
      </c>
      <c r="E266" s="701" t="e">
        <f>HLOOKUP($D$2,'2020 Data(H)'!$C$1:$CZ$428,259,FALSE)</f>
        <v>#N/A</v>
      </c>
      <c r="F266" s="302">
        <v>0</v>
      </c>
      <c r="G266" s="806" t="str">
        <f>IF(ISBLANK(F266),"Please do not leave blank","")</f>
        <v/>
      </c>
      <c r="H266" s="762">
        <f>IF(F266&lt;0,"Error: Enter as positive.",)</f>
        <v>0</v>
      </c>
      <c r="I266" s="79"/>
      <c r="J266" s="799"/>
      <c r="K266" s="18"/>
      <c r="L266" s="18"/>
      <c r="M266" s="18"/>
      <c r="N266" s="304"/>
      <c r="O266" s="18"/>
      <c r="P266" s="18"/>
      <c r="Q266" s="18"/>
      <c r="R266" s="18"/>
      <c r="S266" s="18"/>
      <c r="T266" s="18"/>
      <c r="U266" s="18"/>
      <c r="V266" s="18"/>
      <c r="W266" s="18"/>
      <c r="X266" s="18"/>
      <c r="Y266" s="18"/>
      <c r="Z266" s="107"/>
      <c r="AA266" s="107"/>
      <c r="AB266" s="107"/>
      <c r="AC266" s="107"/>
      <c r="AD266" s="107"/>
      <c r="AE266" s="107"/>
      <c r="AF266" s="107"/>
      <c r="AG266" s="107"/>
      <c r="AH266" s="107"/>
      <c r="AI266" s="107"/>
      <c r="AJ266" s="107"/>
      <c r="AK266" s="107"/>
      <c r="AL266" s="107"/>
      <c r="AM266" s="107"/>
      <c r="AN266" s="107"/>
      <c r="AO266" s="107"/>
      <c r="AP266" s="107"/>
      <c r="AQ266" s="107"/>
      <c r="AR266" s="107"/>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801" customFormat="1" ht="78.75" customHeight="1" x14ac:dyDescent="0.3">
      <c r="A267" s="107">
        <v>602</v>
      </c>
      <c r="B267" s="703" t="s">
        <v>59</v>
      </c>
      <c r="C267" s="703" t="s">
        <v>529</v>
      </c>
      <c r="D267" s="106" t="s">
        <v>685</v>
      </c>
      <c r="E267" s="701" t="e">
        <f>HLOOKUP($D$2,'2020 Data(H)'!$C$1:$CZ$428,262,FALSE)</f>
        <v>#N/A</v>
      </c>
      <c r="F267" s="302">
        <v>0</v>
      </c>
      <c r="G267" s="806" t="str">
        <f>IF(ISBLANK(F267),"Please do not leave blank","")</f>
        <v/>
      </c>
      <c r="H267" s="762">
        <f>IF(F267&lt;0,"Note: Number is normally positive.",)</f>
        <v>0</v>
      </c>
      <c r="I267" s="79"/>
      <c r="J267" s="607"/>
      <c r="K267" s="18"/>
      <c r="L267" s="18"/>
      <c r="M267" s="18"/>
      <c r="N267" s="304"/>
      <c r="O267" s="18"/>
      <c r="P267" s="18"/>
      <c r="Q267" s="18"/>
      <c r="R267" s="18"/>
      <c r="S267" s="18"/>
      <c r="T267" s="18"/>
      <c r="U267" s="18"/>
      <c r="V267" s="18"/>
      <c r="W267" s="18"/>
      <c r="X267" s="18"/>
      <c r="Y267" s="18"/>
      <c r="Z267" s="107"/>
      <c r="AA267" s="107"/>
      <c r="AB267" s="107"/>
      <c r="AC267" s="107"/>
      <c r="AD267" s="107"/>
      <c r="AE267" s="107"/>
      <c r="AF267" s="107"/>
      <c r="AG267" s="107"/>
      <c r="AH267" s="107"/>
      <c r="AI267" s="107"/>
      <c r="AJ267" s="107"/>
      <c r="AK267" s="107"/>
      <c r="AL267" s="107"/>
      <c r="AM267" s="107"/>
      <c r="AN267" s="107"/>
      <c r="AO267" s="107"/>
      <c r="AP267" s="107"/>
      <c r="AQ267" s="107"/>
      <c r="AR267" s="107"/>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801" customFormat="1" ht="90" customHeight="1" x14ac:dyDescent="0.3">
      <c r="A268" s="107">
        <v>619</v>
      </c>
      <c r="B268" s="703" t="s">
        <v>59</v>
      </c>
      <c r="C268" s="703" t="s">
        <v>700</v>
      </c>
      <c r="D268" s="94" t="s">
        <v>712</v>
      </c>
      <c r="E268" s="35" t="e">
        <f>HLOOKUP($D$2,'2020 Data(H)'!$C$1:$CZ$428,279,FALSE)</f>
        <v>#N/A</v>
      </c>
      <c r="F268" s="932">
        <v>0</v>
      </c>
      <c r="G268" s="806" t="str">
        <f>IF(ISBLANK(F268),"Please do not leave blank ",IF(F268=H268,"","Please review percentage"))</f>
        <v/>
      </c>
      <c r="H268" s="807">
        <f>ROUND(IFERROR((F267/F266)*100,0),1)</f>
        <v>0</v>
      </c>
      <c r="I268" s="304"/>
      <c r="J268" s="18"/>
      <c r="K268" s="18"/>
      <c r="L268" s="18"/>
      <c r="M268" s="18"/>
      <c r="N268" s="304"/>
      <c r="O268" s="18"/>
      <c r="P268" s="18"/>
      <c r="Q268" s="18"/>
      <c r="R268" s="18"/>
      <c r="S268" s="18"/>
      <c r="T268" s="18"/>
      <c r="U268" s="18"/>
      <c r="V268" s="18"/>
      <c r="W268" s="18"/>
      <c r="X268" s="18"/>
      <c r="Y268" s="18"/>
      <c r="Z268" s="107"/>
      <c r="AA268" s="107"/>
      <c r="AB268" s="107"/>
      <c r="AC268" s="107"/>
      <c r="AD268" s="107"/>
      <c r="AE268" s="107"/>
      <c r="AF268" s="107"/>
      <c r="AG268" s="107"/>
      <c r="AH268" s="107"/>
      <c r="AI268" s="107"/>
      <c r="AJ268" s="107"/>
      <c r="AK268" s="107"/>
      <c r="AL268" s="107"/>
      <c r="AM268" s="107"/>
      <c r="AN268" s="107"/>
      <c r="AO268" s="107"/>
      <c r="AP268" s="107"/>
      <c r="AQ268" s="107"/>
      <c r="AR268" s="107"/>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7"/>
      <c r="B269" s="897" t="s">
        <v>25</v>
      </c>
      <c r="C269" s="898"/>
      <c r="D269" s="900"/>
      <c r="E269" s="914"/>
      <c r="F269" s="915"/>
      <c r="G269" s="882"/>
      <c r="H269" s="17"/>
      <c r="I269" s="79"/>
      <c r="J269" s="607"/>
      <c r="Z269" s="107"/>
      <c r="AA269" s="107"/>
      <c r="AB269" s="107"/>
      <c r="AC269" s="107"/>
      <c r="AD269" s="107"/>
      <c r="AE269" s="107"/>
      <c r="AF269" s="107"/>
      <c r="AG269" s="107"/>
      <c r="AH269" s="107"/>
      <c r="AI269" s="107"/>
      <c r="AJ269" s="107"/>
      <c r="AK269" s="107"/>
      <c r="AL269" s="107"/>
      <c r="AM269" s="107"/>
      <c r="AN269" s="107"/>
      <c r="AO269" s="107"/>
      <c r="AP269" s="107"/>
      <c r="AQ269" s="107"/>
      <c r="AR269" s="107"/>
    </row>
    <row r="270" spans="1:1881" ht="168" customHeight="1" x14ac:dyDescent="0.3">
      <c r="A270" s="124">
        <v>621</v>
      </c>
      <c r="B270" s="124" t="s">
        <v>607</v>
      </c>
      <c r="C270" s="123" t="s">
        <v>720</v>
      </c>
      <c r="D270" s="123" t="s">
        <v>1526</v>
      </c>
      <c r="E270" s="701" t="e">
        <f>HLOOKUP($D$2,'2020 Data(H)'!$C$1:$CZ$428,281,FALSE)</f>
        <v>#N/A</v>
      </c>
      <c r="F270" s="302">
        <v>0</v>
      </c>
      <c r="G270" s="806" t="s">
        <v>1527</v>
      </c>
      <c r="Z270" s="124"/>
      <c r="AA270" s="124"/>
      <c r="AB270" s="124"/>
      <c r="AC270" s="124"/>
      <c r="AD270" s="124"/>
      <c r="AE270" s="124"/>
      <c r="AF270" s="124"/>
      <c r="AG270" s="124"/>
      <c r="AH270" s="124"/>
      <c r="AI270" s="124"/>
      <c r="AJ270" s="124"/>
      <c r="AK270" s="124"/>
      <c r="AL270" s="124"/>
      <c r="AM270" s="124"/>
      <c r="AN270" s="124"/>
      <c r="AO270" s="124"/>
      <c r="AP270" s="124"/>
      <c r="AQ270" s="124"/>
      <c r="AR270" s="124"/>
    </row>
    <row r="271" spans="1:1881" ht="176.25" customHeight="1" x14ac:dyDescent="0.3">
      <c r="A271" s="107">
        <v>547</v>
      </c>
      <c r="B271" s="703"/>
      <c r="C271" s="703" t="s">
        <v>167</v>
      </c>
      <c r="D271" s="700" t="s">
        <v>532</v>
      </c>
      <c r="E271" s="701" t="e">
        <f>HLOOKUP($D$2,'2020 Data(H)'!$C$1:$CZ$428,197,FALSE)</f>
        <v>#N/A</v>
      </c>
      <c r="F271" s="770"/>
      <c r="G271" s="805" t="str">
        <f>IF(F271&lt;1,"Please answer this question","")</f>
        <v>Please answer this question</v>
      </c>
      <c r="H271" s="763"/>
      <c r="I271" s="764"/>
      <c r="Z271" s="107"/>
      <c r="AA271" s="107"/>
      <c r="AB271" s="107"/>
      <c r="AC271" s="107"/>
      <c r="AD271" s="107"/>
      <c r="AE271" s="107"/>
      <c r="AF271" s="107"/>
      <c r="AG271" s="107"/>
      <c r="AH271" s="107"/>
      <c r="AI271" s="107"/>
      <c r="AJ271" s="107"/>
      <c r="AK271" s="107"/>
      <c r="AL271" s="107"/>
      <c r="AM271" s="107"/>
      <c r="AN271" s="107"/>
      <c r="AO271" s="107"/>
      <c r="AP271" s="107"/>
      <c r="AQ271" s="107"/>
      <c r="AR271" s="107"/>
    </row>
    <row r="272" spans="1:1881" s="18" customFormat="1" ht="221.25" customHeight="1" x14ac:dyDescent="0.3">
      <c r="A272" s="316">
        <v>659</v>
      </c>
      <c r="B272" s="857" t="s">
        <v>59</v>
      </c>
      <c r="C272" s="857" t="s">
        <v>695</v>
      </c>
      <c r="D272" s="319" t="s">
        <v>1528</v>
      </c>
      <c r="E272" s="701" t="e">
        <f>HLOOKUP($D$2,'2020 Data(H)'!$C$1:$CZ$428,312,FALSE)</f>
        <v>#N/A</v>
      </c>
      <c r="F272" s="303">
        <v>0</v>
      </c>
      <c r="G272" s="806" t="s">
        <v>1529</v>
      </c>
      <c r="H272" s="762">
        <f>IF(F269&lt;0,"Error: Enter as positive.",)</f>
        <v>0</v>
      </c>
      <c r="I272" s="381"/>
      <c r="N272" s="304"/>
      <c r="Z272" s="316"/>
      <c r="AA272" s="316"/>
      <c r="AB272" s="316"/>
      <c r="AC272" s="316"/>
      <c r="AD272" s="316"/>
      <c r="AE272" s="316"/>
      <c r="AF272" s="316"/>
      <c r="AG272" s="316"/>
      <c r="AH272" s="316"/>
      <c r="AI272" s="316"/>
      <c r="AJ272" s="316"/>
      <c r="AK272" s="316"/>
      <c r="AL272" s="316"/>
      <c r="AM272" s="316"/>
      <c r="AN272" s="316"/>
      <c r="AO272" s="316"/>
      <c r="AP272" s="316"/>
      <c r="AQ272" s="316"/>
      <c r="AR272" s="316"/>
    </row>
    <row r="273" spans="1:44" ht="65.25" customHeight="1" x14ac:dyDescent="0.3">
      <c r="A273" s="316">
        <v>660</v>
      </c>
      <c r="B273" s="857" t="s">
        <v>59</v>
      </c>
      <c r="C273" s="857" t="s">
        <v>695</v>
      </c>
      <c r="D273" s="319" t="s">
        <v>1530</v>
      </c>
      <c r="E273" s="701" t="e">
        <f>HLOOKUP($D$2,'2020 Data(H)'!$C$1:$CZ$428,313,FALSE)</f>
        <v>#N/A</v>
      </c>
      <c r="F273" s="303">
        <v>0</v>
      </c>
      <c r="G273" s="806" t="str">
        <f>IF(ISBLANK(F273),"Please do not leave blank","")</f>
        <v/>
      </c>
      <c r="H273" s="762">
        <f>IF(F270&lt;0,"Note: Number is normally positive.",)</f>
        <v>0</v>
      </c>
      <c r="I273" s="17"/>
      <c r="Z273" s="316"/>
      <c r="AA273" s="316"/>
      <c r="AB273" s="316"/>
      <c r="AC273" s="316"/>
      <c r="AD273" s="316"/>
      <c r="AE273" s="316"/>
      <c r="AF273" s="316"/>
      <c r="AG273" s="316"/>
      <c r="AH273" s="316"/>
      <c r="AI273" s="316"/>
      <c r="AJ273" s="316"/>
      <c r="AK273" s="316"/>
      <c r="AL273" s="316"/>
      <c r="AM273" s="316"/>
      <c r="AN273" s="316"/>
      <c r="AO273" s="316"/>
      <c r="AP273" s="316"/>
      <c r="AQ273" s="316"/>
      <c r="AR273" s="316"/>
    </row>
    <row r="274" spans="1:44" ht="94.5" customHeight="1" x14ac:dyDescent="0.3">
      <c r="A274" s="316">
        <v>661</v>
      </c>
      <c r="B274" s="857" t="s">
        <v>59</v>
      </c>
      <c r="C274" s="857" t="s">
        <v>699</v>
      </c>
      <c r="D274" s="668" t="s">
        <v>1531</v>
      </c>
      <c r="E274" s="384" t="e">
        <f>HLOOKUP($D$2,'2020 Data(H)'!$C$1:$CZ$428,314,FALSE)</f>
        <v>#N/A</v>
      </c>
      <c r="F274" s="272">
        <v>0</v>
      </c>
      <c r="G274" s="806" t="str">
        <f>IF(ISBLANK(F274),"Please do not leave blank ",IF(F274=H274,"","Please review percentage"))</f>
        <v/>
      </c>
      <c r="H274" s="807">
        <f>ROUND(IFERROR((F273/F272)*100,0),1)</f>
        <v>0</v>
      </c>
      <c r="I274" s="807"/>
      <c r="Z274" s="316"/>
      <c r="AA274" s="316"/>
      <c r="AB274" s="316"/>
      <c r="AC274" s="316"/>
      <c r="AD274" s="316"/>
      <c r="AE274" s="316"/>
      <c r="AF274" s="316"/>
      <c r="AG274" s="316"/>
      <c r="AH274" s="316"/>
      <c r="AI274" s="316"/>
      <c r="AJ274" s="316"/>
      <c r="AK274" s="316"/>
      <c r="AL274" s="316"/>
      <c r="AM274" s="316"/>
      <c r="AN274" s="316"/>
      <c r="AO274" s="316"/>
      <c r="AP274" s="316"/>
      <c r="AQ274" s="316"/>
      <c r="AR274" s="316"/>
    </row>
    <row r="275" spans="1:44" ht="111.75" customHeight="1" x14ac:dyDescent="0.3">
      <c r="A275" s="107"/>
      <c r="B275" s="703"/>
      <c r="C275" s="703"/>
      <c r="D275" s="27" t="s">
        <v>26</v>
      </c>
      <c r="E275" s="705"/>
      <c r="F275" s="708"/>
      <c r="G275" s="806"/>
      <c r="H275" s="807"/>
      <c r="I275" s="808"/>
      <c r="Z275" s="107"/>
      <c r="AA275" s="107"/>
      <c r="AB275" s="107"/>
      <c r="AC275" s="107"/>
      <c r="AD275" s="107"/>
      <c r="AE275" s="107"/>
      <c r="AF275" s="107"/>
      <c r="AG275" s="107"/>
      <c r="AH275" s="107"/>
      <c r="AI275" s="107"/>
      <c r="AJ275" s="107"/>
      <c r="AK275" s="107"/>
      <c r="AL275" s="107"/>
      <c r="AM275" s="107"/>
      <c r="AN275" s="107"/>
      <c r="AO275" s="107"/>
      <c r="AP275" s="107"/>
      <c r="AQ275" s="107"/>
      <c r="AR275" s="107"/>
    </row>
    <row r="276" spans="1:44" ht="32.25" customHeight="1" x14ac:dyDescent="0.3">
      <c r="A276" s="107"/>
      <c r="B276" s="897" t="s">
        <v>27</v>
      </c>
      <c r="C276" s="898"/>
      <c r="D276" s="900"/>
      <c r="E276" s="914"/>
      <c r="F276" s="914"/>
      <c r="G276" s="882"/>
      <c r="H276" s="17"/>
      <c r="I276" s="79"/>
      <c r="Z276" s="107"/>
      <c r="AA276" s="107"/>
      <c r="AB276" s="107"/>
      <c r="AC276" s="107"/>
      <c r="AD276" s="107"/>
      <c r="AE276" s="107"/>
      <c r="AF276" s="107"/>
      <c r="AG276" s="107"/>
      <c r="AH276" s="107"/>
      <c r="AI276" s="107"/>
      <c r="AJ276" s="107"/>
      <c r="AK276" s="107"/>
      <c r="AL276" s="107"/>
      <c r="AM276" s="107"/>
      <c r="AN276" s="107"/>
      <c r="AO276" s="107"/>
      <c r="AP276" s="107"/>
      <c r="AQ276" s="107"/>
      <c r="AR276" s="107"/>
    </row>
    <row r="277" spans="1:44" ht="63.75" customHeight="1" x14ac:dyDescent="0.3">
      <c r="A277" s="33">
        <v>371</v>
      </c>
      <c r="B277" s="4" t="s">
        <v>56</v>
      </c>
      <c r="C277" s="4" t="s">
        <v>168</v>
      </c>
      <c r="D277" s="24" t="s">
        <v>1633</v>
      </c>
      <c r="E277" s="701" t="e">
        <f>HLOOKUP($D$2,'2020 Data(H)'!$C$1:$CZ$428,132,FALSE)</f>
        <v>#N/A</v>
      </c>
      <c r="F277" s="303">
        <v>0</v>
      </c>
      <c r="G277" s="762">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7">
        <v>513</v>
      </c>
      <c r="B278" s="855" t="s">
        <v>58</v>
      </c>
      <c r="C278" s="4" t="s">
        <v>168</v>
      </c>
      <c r="D278" s="24" t="s">
        <v>1634</v>
      </c>
      <c r="E278" s="701" t="e">
        <f>HLOOKUP($D$2,'2020 Data(H)'!$C$1:$CZ$428,163,FALSE)</f>
        <v>#N/A</v>
      </c>
      <c r="F278" s="303">
        <v>0</v>
      </c>
      <c r="G278" s="762">
        <f>IF(F278&lt;0,"Error: Enter as positive.",)</f>
        <v>0</v>
      </c>
      <c r="H278" s="763"/>
      <c r="I278" s="764"/>
      <c r="Z278" s="107"/>
      <c r="AA278" s="107"/>
      <c r="AB278" s="107"/>
      <c r="AC278" s="107"/>
      <c r="AD278" s="107"/>
      <c r="AE278" s="107"/>
      <c r="AF278" s="107"/>
      <c r="AG278" s="107"/>
      <c r="AH278" s="107"/>
      <c r="AI278" s="107"/>
      <c r="AJ278" s="107"/>
      <c r="AK278" s="107"/>
      <c r="AL278" s="107"/>
      <c r="AM278" s="107"/>
      <c r="AN278" s="107"/>
      <c r="AO278" s="107"/>
      <c r="AP278" s="107"/>
      <c r="AQ278" s="107"/>
      <c r="AR278" s="107"/>
    </row>
    <row r="279" spans="1:44" ht="80.25" customHeight="1" x14ac:dyDescent="0.3">
      <c r="A279" s="107">
        <v>514</v>
      </c>
      <c r="B279" s="855" t="s">
        <v>58</v>
      </c>
      <c r="C279" s="4" t="s">
        <v>168</v>
      </c>
      <c r="D279" s="24" t="s">
        <v>1635</v>
      </c>
      <c r="E279" s="701" t="e">
        <f>HLOOKUP($D$2,'2020 Data(H)'!$C$1:$CZ$428,164,FALSE)</f>
        <v>#N/A</v>
      </c>
      <c r="F279" s="303">
        <v>0</v>
      </c>
      <c r="G279" s="762">
        <f>IF(F279&lt;0,"Error: Enter as positive.",)</f>
        <v>0</v>
      </c>
      <c r="H279" s="17"/>
      <c r="I279" s="764"/>
      <c r="Z279" s="107"/>
      <c r="AA279" s="107"/>
      <c r="AB279" s="107"/>
      <c r="AC279" s="107"/>
      <c r="AD279" s="107"/>
      <c r="AE279" s="107"/>
      <c r="AF279" s="107"/>
      <c r="AG279" s="107"/>
      <c r="AH279" s="107"/>
      <c r="AI279" s="107"/>
      <c r="AJ279" s="107"/>
      <c r="AK279" s="107"/>
      <c r="AL279" s="107"/>
      <c r="AM279" s="107"/>
      <c r="AN279" s="107"/>
      <c r="AO279" s="107"/>
      <c r="AP279" s="107"/>
      <c r="AQ279" s="107"/>
      <c r="AR279" s="107"/>
    </row>
    <row r="280" spans="1:44" ht="80.25" customHeight="1" x14ac:dyDescent="0.3">
      <c r="A280" s="107">
        <v>990</v>
      </c>
      <c r="B280" s="864" t="s">
        <v>1125</v>
      </c>
      <c r="C280" s="861" t="s">
        <v>168</v>
      </c>
      <c r="D280" s="789" t="s">
        <v>1126</v>
      </c>
      <c r="E280" s="703" t="s">
        <v>1102</v>
      </c>
      <c r="F280" s="303">
        <v>0</v>
      </c>
      <c r="G280" s="762"/>
      <c r="H280" s="17"/>
      <c r="I280" s="764"/>
      <c r="Z280" s="107"/>
      <c r="AA280" s="107"/>
      <c r="AB280" s="107"/>
      <c r="AC280" s="107"/>
      <c r="AD280" s="107"/>
      <c r="AE280" s="107"/>
      <c r="AF280" s="107"/>
      <c r="AG280" s="107"/>
      <c r="AH280" s="107"/>
      <c r="AI280" s="107"/>
      <c r="AJ280" s="107"/>
      <c r="AK280" s="107"/>
      <c r="AL280" s="107"/>
      <c r="AM280" s="107"/>
      <c r="AN280" s="107"/>
      <c r="AO280" s="107"/>
      <c r="AP280" s="107"/>
      <c r="AQ280" s="107"/>
      <c r="AR280" s="107"/>
    </row>
    <row r="281" spans="1:44" ht="32.25" customHeight="1" x14ac:dyDescent="0.3">
      <c r="A281" s="107"/>
      <c r="B281" s="897" t="s">
        <v>28</v>
      </c>
      <c r="C281" s="898"/>
      <c r="D281" s="900"/>
      <c r="E281" s="914"/>
      <c r="F281" s="882"/>
      <c r="G281" s="882"/>
      <c r="H281" s="17"/>
      <c r="I281" s="79"/>
      <c r="Z281" s="107"/>
      <c r="AA281" s="107"/>
      <c r="AB281" s="107"/>
      <c r="AC281" s="107"/>
      <c r="AD281" s="107"/>
      <c r="AE281" s="107"/>
      <c r="AF281" s="107"/>
      <c r="AG281" s="107"/>
      <c r="AH281" s="107"/>
      <c r="AI281" s="107"/>
      <c r="AJ281" s="107"/>
      <c r="AK281" s="107"/>
      <c r="AL281" s="107"/>
      <c r="AM281" s="107"/>
      <c r="AN281" s="107"/>
      <c r="AO281" s="107"/>
      <c r="AP281" s="107"/>
      <c r="AQ281" s="107"/>
      <c r="AR281" s="107"/>
    </row>
    <row r="282" spans="1:44" ht="68.25" customHeight="1" x14ac:dyDescent="0.3">
      <c r="A282" s="107">
        <v>6</v>
      </c>
      <c r="B282" s="4" t="s">
        <v>55</v>
      </c>
      <c r="C282" s="4" t="s">
        <v>169</v>
      </c>
      <c r="D282" s="24" t="s">
        <v>1636</v>
      </c>
      <c r="E282" s="701" t="e">
        <f>HLOOKUP($D$2,'2020 Data(H)'!$C$1:$CZ$428,5,FALSE)</f>
        <v>#N/A</v>
      </c>
      <c r="F282" s="303">
        <v>0</v>
      </c>
      <c r="G282" s="762">
        <f>IF(F282&lt;0,"Error: Enter as positive.",)</f>
        <v>0</v>
      </c>
      <c r="H282" s="17"/>
      <c r="I282" s="79"/>
      <c r="J282" s="607"/>
      <c r="Z282" s="107"/>
      <c r="AA282" s="107"/>
      <c r="AB282" s="107"/>
      <c r="AC282" s="107"/>
      <c r="AD282" s="107"/>
      <c r="AE282" s="107"/>
      <c r="AF282" s="107"/>
      <c r="AG282" s="107"/>
      <c r="AH282" s="107"/>
      <c r="AI282" s="107"/>
      <c r="AJ282" s="107"/>
      <c r="AK282" s="107"/>
      <c r="AL282" s="107"/>
      <c r="AM282" s="107"/>
      <c r="AN282" s="107"/>
      <c r="AO282" s="107"/>
      <c r="AP282" s="107"/>
      <c r="AQ282" s="107"/>
      <c r="AR282" s="107"/>
    </row>
    <row r="283" spans="1:44" ht="33" customHeight="1" x14ac:dyDescent="0.3">
      <c r="A283" s="107"/>
      <c r="B283" s="897" t="s">
        <v>180</v>
      </c>
      <c r="C283" s="898"/>
      <c r="D283" s="900"/>
      <c r="E283" s="916"/>
      <c r="F283" s="892"/>
      <c r="G283" s="892"/>
      <c r="H283" s="763"/>
      <c r="I283" s="764"/>
      <c r="J283" s="607"/>
      <c r="Z283" s="107"/>
      <c r="AA283" s="107"/>
      <c r="AB283" s="107"/>
      <c r="AC283" s="107"/>
      <c r="AD283" s="107"/>
      <c r="AE283" s="107"/>
      <c r="AF283" s="107"/>
      <c r="AG283" s="107"/>
      <c r="AH283" s="107"/>
      <c r="AI283" s="107"/>
      <c r="AJ283" s="107"/>
      <c r="AK283" s="107"/>
      <c r="AL283" s="107"/>
      <c r="AM283" s="107"/>
      <c r="AN283" s="107"/>
      <c r="AO283" s="107"/>
      <c r="AP283" s="107"/>
      <c r="AQ283" s="107"/>
      <c r="AR283" s="107"/>
    </row>
    <row r="284" spans="1:44" ht="141" customHeight="1" x14ac:dyDescent="0.3">
      <c r="A284" s="107">
        <v>541</v>
      </c>
      <c r="B284" s="703" t="s">
        <v>59</v>
      </c>
      <c r="C284" s="703" t="s">
        <v>1637</v>
      </c>
      <c r="D284" s="700" t="s">
        <v>1638</v>
      </c>
      <c r="E284" s="701" t="e">
        <f>HLOOKUP($D$2,'2020 Data(H)'!$C$1:$CZ$428,191,FALSE)</f>
        <v>#N/A</v>
      </c>
      <c r="F284" s="303">
        <v>0</v>
      </c>
      <c r="G284" s="762"/>
      <c r="H284" s="763"/>
      <c r="I284" s="764"/>
      <c r="J284" s="607"/>
      <c r="Z284" s="107"/>
      <c r="AA284" s="107"/>
      <c r="AB284" s="107"/>
      <c r="AC284" s="107"/>
      <c r="AD284" s="107"/>
      <c r="AE284" s="107"/>
      <c r="AF284" s="107"/>
      <c r="AG284" s="107"/>
      <c r="AH284" s="107"/>
      <c r="AI284" s="107"/>
      <c r="AJ284" s="107"/>
      <c r="AK284" s="107"/>
      <c r="AL284" s="107"/>
      <c r="AM284" s="107"/>
      <c r="AN284" s="107"/>
      <c r="AO284" s="107"/>
      <c r="AP284" s="107"/>
      <c r="AQ284" s="107"/>
      <c r="AR284" s="107"/>
    </row>
    <row r="285" spans="1:44" ht="28.5" customHeight="1" x14ac:dyDescent="0.3">
      <c r="A285" s="107"/>
      <c r="B285" s="898" t="s">
        <v>50</v>
      </c>
      <c r="C285" s="898"/>
      <c r="D285" s="900"/>
      <c r="E285" s="916"/>
      <c r="F285" s="912"/>
      <c r="G285" s="912"/>
      <c r="H285" s="763"/>
      <c r="I285" s="764"/>
      <c r="Z285" s="107"/>
      <c r="AA285" s="107"/>
      <c r="AB285" s="107"/>
      <c r="AC285" s="107"/>
      <c r="AD285" s="107"/>
      <c r="AE285" s="107"/>
      <c r="AF285" s="107"/>
      <c r="AG285" s="107"/>
      <c r="AH285" s="107"/>
      <c r="AI285" s="107"/>
      <c r="AJ285" s="107"/>
      <c r="AK285" s="107"/>
      <c r="AL285" s="107"/>
      <c r="AM285" s="107"/>
      <c r="AN285" s="107"/>
      <c r="AO285" s="107"/>
      <c r="AP285" s="107"/>
      <c r="AQ285" s="107"/>
      <c r="AR285" s="107"/>
    </row>
    <row r="286" spans="1:44" ht="77.25" customHeight="1" x14ac:dyDescent="0.3">
      <c r="A286" s="107">
        <v>542</v>
      </c>
      <c r="B286" s="703" t="s">
        <v>59</v>
      </c>
      <c r="C286" s="865" t="s">
        <v>1639</v>
      </c>
      <c r="D286" s="29" t="s">
        <v>170</v>
      </c>
      <c r="E286" s="701" t="e">
        <f>HLOOKUP($D$2,'2020 Data(H)'!$C$1:$CZ$428,192,FALSE)</f>
        <v>#N/A</v>
      </c>
      <c r="F286" s="303">
        <v>0</v>
      </c>
      <c r="G286" s="762"/>
      <c r="H286" s="763"/>
      <c r="I286" s="809"/>
      <c r="Z286" s="107"/>
      <c r="AA286" s="107"/>
      <c r="AB286" s="107"/>
      <c r="AC286" s="107"/>
      <c r="AD286" s="107"/>
      <c r="AE286" s="107"/>
      <c r="AF286" s="107"/>
      <c r="AG286" s="107"/>
      <c r="AH286" s="107"/>
      <c r="AI286" s="107"/>
      <c r="AJ286" s="107"/>
      <c r="AK286" s="107"/>
      <c r="AL286" s="107"/>
      <c r="AM286" s="107"/>
      <c r="AN286" s="107"/>
      <c r="AO286" s="107"/>
      <c r="AP286" s="107"/>
      <c r="AQ286" s="107"/>
      <c r="AR286" s="107"/>
    </row>
    <row r="287" spans="1:44" ht="24.75" customHeight="1" x14ac:dyDescent="0.3">
      <c r="A287" s="107"/>
      <c r="B287" s="897" t="s">
        <v>1640</v>
      </c>
      <c r="C287" s="897"/>
      <c r="D287" s="873"/>
      <c r="E287" s="874"/>
      <c r="F287" s="894"/>
      <c r="G287" s="894"/>
      <c r="H287" s="17"/>
      <c r="I287" s="79"/>
      <c r="Z287" s="107"/>
      <c r="AA287" s="107"/>
      <c r="AB287" s="107"/>
      <c r="AC287" s="107"/>
      <c r="AD287" s="107"/>
      <c r="AE287" s="107"/>
      <c r="AF287" s="107"/>
      <c r="AG287" s="107"/>
      <c r="AH287" s="107"/>
      <c r="AI287" s="107"/>
      <c r="AJ287" s="107"/>
      <c r="AK287" s="107"/>
      <c r="AL287" s="107"/>
      <c r="AM287" s="107"/>
      <c r="AN287" s="107"/>
      <c r="AO287" s="107"/>
      <c r="AP287" s="107"/>
      <c r="AQ287" s="107"/>
      <c r="AR287" s="107"/>
    </row>
    <row r="288" spans="1:44" ht="25.5" customHeight="1" x14ac:dyDescent="0.3">
      <c r="A288" s="107"/>
      <c r="B288" s="917" t="s">
        <v>12</v>
      </c>
      <c r="C288" s="917"/>
      <c r="D288" s="873"/>
      <c r="E288" s="874"/>
      <c r="F288" s="918"/>
      <c r="G288" s="894"/>
      <c r="H288" s="17"/>
      <c r="I288" s="79"/>
      <c r="Z288" s="107"/>
      <c r="AA288" s="107"/>
      <c r="AB288" s="107"/>
      <c r="AC288" s="107"/>
      <c r="AD288" s="107"/>
      <c r="AE288" s="107"/>
      <c r="AF288" s="107"/>
      <c r="AG288" s="107"/>
      <c r="AH288" s="107"/>
      <c r="AI288" s="107"/>
      <c r="AJ288" s="107"/>
      <c r="AK288" s="107"/>
      <c r="AL288" s="107"/>
      <c r="AM288" s="107"/>
      <c r="AN288" s="107"/>
      <c r="AO288" s="107"/>
      <c r="AP288" s="107"/>
      <c r="AQ288" s="107"/>
      <c r="AR288" s="107"/>
    </row>
    <row r="289" spans="1:44" ht="77.25" customHeight="1" x14ac:dyDescent="0.3">
      <c r="A289" s="34">
        <v>528</v>
      </c>
      <c r="B289" s="703" t="s">
        <v>55</v>
      </c>
      <c r="C289" s="4" t="s">
        <v>171</v>
      </c>
      <c r="D289" s="640" t="s">
        <v>1677</v>
      </c>
      <c r="E289" s="701" t="e">
        <f>HLOOKUP($D$2,'2020 Data(H)'!$C$1:$CZ$428,178,FALSE)</f>
        <v>#N/A</v>
      </c>
      <c r="F289" s="303">
        <v>0</v>
      </c>
      <c r="G289" s="762">
        <f>IF(F289="","Error: Unit must enter this information if they levy taxes.",)</f>
        <v>0</v>
      </c>
      <c r="H289" s="810"/>
      <c r="I289" s="79"/>
      <c r="J289" s="811"/>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703" t="s">
        <v>55</v>
      </c>
      <c r="C290" s="4" t="s">
        <v>171</v>
      </c>
      <c r="D290" s="640" t="s">
        <v>1641</v>
      </c>
      <c r="E290" s="701" t="e">
        <f>HLOOKUP($D$2,'2020 Data(H)'!$C$1:$CZ$428,179,FALSE)</f>
        <v>#N/A</v>
      </c>
      <c r="F290" s="303">
        <v>0</v>
      </c>
      <c r="G290" s="762">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703" t="s">
        <v>55</v>
      </c>
      <c r="C291" s="4" t="s">
        <v>171</v>
      </c>
      <c r="D291" s="866" t="s">
        <v>1642</v>
      </c>
      <c r="E291" s="701" t="e">
        <f>HLOOKUP($D$2,'2020 Data(H)'!$C$1:$CZ$428,180,FALSE)</f>
        <v>#N/A</v>
      </c>
      <c r="F291" s="303">
        <v>0</v>
      </c>
      <c r="G291" s="762">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703" t="s">
        <v>55</v>
      </c>
      <c r="C292" s="4" t="s">
        <v>171</v>
      </c>
      <c r="D292" s="866" t="s">
        <v>1643</v>
      </c>
      <c r="E292" s="701" t="e">
        <f>HLOOKUP($D$2,'2020 Data(H)'!$C$1:$CZ$428,181,FALSE)</f>
        <v>#N/A</v>
      </c>
      <c r="F292" s="303">
        <v>0</v>
      </c>
      <c r="G292" s="762">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7">
        <v>61</v>
      </c>
      <c r="B293" s="4" t="s">
        <v>59</v>
      </c>
      <c r="C293" s="4" t="s">
        <v>171</v>
      </c>
      <c r="D293" s="29" t="s">
        <v>1644</v>
      </c>
      <c r="E293" s="35" t="e">
        <f>HLOOKUP($D$2,'2020 Data(H)'!$C$1:$CZ$428,43,FALSE)</f>
        <v>#N/A</v>
      </c>
      <c r="F293" s="283">
        <v>0</v>
      </c>
      <c r="G293" s="762" t="e">
        <f>IF(F293=H293," ","Please check values in account 528, 529, 530 and  531.")</f>
        <v>#DIV/0!</v>
      </c>
      <c r="H293" s="812" t="e">
        <f>ROUND((F289+F290-F291-F292)/(F289+F290)*100,2)</f>
        <v>#DIV/0!</v>
      </c>
      <c r="I293" s="79"/>
      <c r="Z293" s="107"/>
      <c r="AA293" s="107"/>
      <c r="AB293" s="107"/>
      <c r="AC293" s="107"/>
      <c r="AD293" s="107"/>
      <c r="AE293" s="107"/>
      <c r="AF293" s="107"/>
      <c r="AG293" s="107"/>
      <c r="AH293" s="107"/>
      <c r="AI293" s="107"/>
      <c r="AJ293" s="107"/>
      <c r="AK293" s="107"/>
      <c r="AL293" s="107"/>
      <c r="AM293" s="107"/>
      <c r="AN293" s="107"/>
      <c r="AO293" s="107"/>
      <c r="AP293" s="107"/>
      <c r="AQ293" s="107"/>
      <c r="AR293" s="107"/>
    </row>
    <row r="294" spans="1:44" ht="69" customHeight="1" x14ac:dyDescent="0.3">
      <c r="A294" s="107">
        <v>102</v>
      </c>
      <c r="B294" s="4" t="s">
        <v>59</v>
      </c>
      <c r="C294" s="4" t="s">
        <v>171</v>
      </c>
      <c r="D294" s="60" t="s">
        <v>1645</v>
      </c>
      <c r="E294" s="35" t="e">
        <f>HLOOKUP($D$2,'2020 Data(H)'!$C$1:$CZ$428,62,FALSE)</f>
        <v>#N/A</v>
      </c>
      <c r="F294" s="283">
        <v>0</v>
      </c>
      <c r="G294" s="762" t="e">
        <f>IF(F294=H294," ","Please check values in account 528 and 530.")</f>
        <v>#DIV/0!</v>
      </c>
      <c r="H294" s="812" t="e">
        <f>ROUND((F289-F291)/(F289)*100,2)</f>
        <v>#DIV/0!</v>
      </c>
      <c r="I294" s="79"/>
      <c r="Z294" s="107"/>
      <c r="AA294" s="107"/>
      <c r="AB294" s="107"/>
      <c r="AC294" s="107"/>
      <c r="AD294" s="107"/>
      <c r="AE294" s="107"/>
      <c r="AF294" s="107"/>
      <c r="AG294" s="107"/>
      <c r="AH294" s="107"/>
      <c r="AI294" s="107"/>
      <c r="AJ294" s="107"/>
      <c r="AK294" s="107"/>
      <c r="AL294" s="107"/>
      <c r="AM294" s="107"/>
      <c r="AN294" s="107"/>
      <c r="AO294" s="107"/>
      <c r="AP294" s="107"/>
      <c r="AQ294" s="107"/>
      <c r="AR294" s="107"/>
    </row>
    <row r="295" spans="1:44" ht="63.75" customHeight="1" x14ac:dyDescent="0.3">
      <c r="A295" s="107">
        <v>103</v>
      </c>
      <c r="B295" s="4" t="s">
        <v>59</v>
      </c>
      <c r="C295" s="4" t="s">
        <v>171</v>
      </c>
      <c r="D295" s="29" t="s">
        <v>1646</v>
      </c>
      <c r="E295" s="35" t="e">
        <f>HLOOKUP($D$2,'2020 Data(H)'!$C$1:$CZ$428,63,FALSE)</f>
        <v>#N/A</v>
      </c>
      <c r="F295" s="283">
        <v>0</v>
      </c>
      <c r="G295" s="762" t="e">
        <f>IF(F295=H295," ","Please check values in account 529 and 531.")</f>
        <v>#DIV/0!</v>
      </c>
      <c r="H295" s="812" t="e">
        <f>ROUND((F290-F292)/F290*100,2)</f>
        <v>#DIV/0!</v>
      </c>
      <c r="I295" s="79"/>
      <c r="M295" s="18" t="s">
        <v>1103</v>
      </c>
      <c r="Z295" s="107"/>
      <c r="AA295" s="107"/>
      <c r="AB295" s="107"/>
      <c r="AC295" s="107"/>
      <c r="AD295" s="107"/>
      <c r="AE295" s="107"/>
      <c r="AF295" s="107"/>
      <c r="AG295" s="107"/>
      <c r="AH295" s="107"/>
      <c r="AI295" s="107"/>
      <c r="AJ295" s="107"/>
      <c r="AK295" s="107"/>
      <c r="AL295" s="107"/>
      <c r="AM295" s="107"/>
      <c r="AN295" s="107"/>
      <c r="AO295" s="107"/>
      <c r="AP295" s="107"/>
      <c r="AQ295" s="107"/>
      <c r="AR295" s="107"/>
    </row>
    <row r="296" spans="1:44" ht="72" customHeight="1" x14ac:dyDescent="0.3">
      <c r="A296" s="107">
        <v>544</v>
      </c>
      <c r="B296" s="703" t="s">
        <v>59</v>
      </c>
      <c r="C296" s="703" t="s">
        <v>171</v>
      </c>
      <c r="D296" s="24" t="s">
        <v>1647</v>
      </c>
      <c r="E296" s="36" t="e">
        <f>HLOOKUP($D$2,'2020 Data(H)'!$C$1:$CZ$428,194,FALSE)</f>
        <v>#N/A</v>
      </c>
      <c r="F296" s="372">
        <v>0</v>
      </c>
      <c r="G296" s="762"/>
      <c r="H296" s="17"/>
      <c r="I296" s="107"/>
      <c r="J296" s="867"/>
      <c r="M296" s="18" t="s">
        <v>51</v>
      </c>
      <c r="Z296" s="107"/>
      <c r="AA296" s="107"/>
      <c r="AB296" s="107"/>
      <c r="AC296" s="107"/>
      <c r="AD296" s="107"/>
      <c r="AE296" s="107"/>
      <c r="AF296" s="107"/>
      <c r="AG296" s="107"/>
      <c r="AH296" s="107"/>
      <c r="AI296" s="107"/>
      <c r="AJ296" s="107"/>
      <c r="AK296" s="107"/>
      <c r="AL296" s="107"/>
      <c r="AM296" s="107"/>
      <c r="AN296" s="107"/>
      <c r="AO296" s="107"/>
      <c r="AP296" s="107"/>
      <c r="AQ296" s="107"/>
      <c r="AR296" s="107"/>
    </row>
    <row r="297" spans="1:44" ht="73.5" customHeight="1" x14ac:dyDescent="0.3">
      <c r="A297" s="107">
        <v>545</v>
      </c>
      <c r="B297" s="703" t="s">
        <v>59</v>
      </c>
      <c r="C297" s="703" t="s">
        <v>171</v>
      </c>
      <c r="D297" s="24" t="s">
        <v>1648</v>
      </c>
      <c r="E297" s="1234"/>
      <c r="F297" s="372">
        <v>0</v>
      </c>
      <c r="G297" s="762"/>
      <c r="H297" s="17"/>
      <c r="I297" s="136"/>
      <c r="J297" s="867"/>
      <c r="M297" s="18" t="s">
        <v>52</v>
      </c>
      <c r="Z297" s="107"/>
      <c r="AA297" s="107"/>
      <c r="AB297" s="107"/>
      <c r="AC297" s="107"/>
      <c r="AD297" s="107"/>
      <c r="AE297" s="107"/>
      <c r="AF297" s="107"/>
      <c r="AG297" s="107"/>
      <c r="AH297" s="107"/>
      <c r="AI297" s="107"/>
      <c r="AJ297" s="107"/>
      <c r="AK297" s="107"/>
      <c r="AL297" s="107"/>
      <c r="AM297" s="107"/>
      <c r="AN297" s="107"/>
      <c r="AO297" s="107"/>
      <c r="AP297" s="107"/>
      <c r="AQ297" s="107"/>
      <c r="AR297" s="107"/>
    </row>
    <row r="298" spans="1:44" ht="51.75" customHeight="1" x14ac:dyDescent="0.3">
      <c r="A298" s="124">
        <v>624</v>
      </c>
      <c r="B298" s="123" t="s">
        <v>59</v>
      </c>
      <c r="C298" s="123"/>
      <c r="D298" s="123" t="s">
        <v>721</v>
      </c>
      <c r="E298" s="1234"/>
      <c r="F298" s="271"/>
      <c r="G298" s="805" t="str">
        <f>IF(+F298&lt;1,"Please answer this question","")</f>
        <v>Please answer this question</v>
      </c>
      <c r="H298" s="17"/>
      <c r="I298" s="107"/>
      <c r="J298" s="867"/>
      <c r="M298" s="18" t="s">
        <v>1104</v>
      </c>
      <c r="Z298" s="124"/>
      <c r="AA298" s="124"/>
      <c r="AB298" s="124"/>
      <c r="AC298" s="124"/>
      <c r="AD298" s="124"/>
      <c r="AE298" s="124"/>
      <c r="AF298" s="124"/>
      <c r="AG298" s="124"/>
      <c r="AH298" s="124"/>
      <c r="AI298" s="124"/>
      <c r="AJ298" s="124"/>
      <c r="AK298" s="124"/>
      <c r="AL298" s="124"/>
      <c r="AM298" s="124"/>
      <c r="AN298" s="124"/>
      <c r="AO298" s="124"/>
      <c r="AP298" s="124"/>
      <c r="AQ298" s="124"/>
      <c r="AR298" s="124"/>
    </row>
    <row r="299" spans="1:44" ht="70.5" customHeight="1" x14ac:dyDescent="0.3">
      <c r="A299" s="704">
        <v>648</v>
      </c>
      <c r="B299" s="322" t="s">
        <v>1221</v>
      </c>
      <c r="C299" s="861" t="s">
        <v>171</v>
      </c>
      <c r="D299" s="322" t="s">
        <v>1510</v>
      </c>
      <c r="E299" s="703" t="s">
        <v>1102</v>
      </c>
      <c r="F299" s="372">
        <v>0</v>
      </c>
      <c r="G299" s="805"/>
      <c r="H299" s="17"/>
      <c r="I299" s="107"/>
      <c r="J299" s="867"/>
      <c r="Z299" s="704"/>
      <c r="AA299" s="704"/>
      <c r="AB299" s="704"/>
      <c r="AC299" s="704"/>
      <c r="AD299" s="704"/>
      <c r="AE299" s="704"/>
      <c r="AF299" s="704"/>
      <c r="AG299" s="704"/>
      <c r="AH299" s="704"/>
      <c r="AI299" s="704"/>
      <c r="AJ299" s="704"/>
      <c r="AK299" s="704"/>
      <c r="AL299" s="704"/>
      <c r="AM299" s="704"/>
      <c r="AN299" s="704"/>
      <c r="AO299" s="704"/>
      <c r="AP299" s="704"/>
      <c r="AQ299" s="704"/>
      <c r="AR299" s="704"/>
    </row>
    <row r="300" spans="1:44" ht="171" customHeight="1" x14ac:dyDescent="0.3">
      <c r="A300" s="704">
        <v>991</v>
      </c>
      <c r="B300" s="321" t="s">
        <v>1132</v>
      </c>
      <c r="C300" s="322"/>
      <c r="D300" s="813" t="s">
        <v>1427</v>
      </c>
      <c r="E300" s="703" t="s">
        <v>1102</v>
      </c>
      <c r="F300" s="271"/>
      <c r="G300" s="805"/>
      <c r="H300" s="814" t="s">
        <v>1128</v>
      </c>
      <c r="I300" s="253" t="s">
        <v>1134</v>
      </c>
      <c r="J300" s="867"/>
      <c r="M300" s="18" t="s">
        <v>1129</v>
      </c>
      <c r="Z300" s="704"/>
      <c r="AA300" s="704"/>
      <c r="AB300" s="704"/>
      <c r="AC300" s="704"/>
      <c r="AD300" s="704"/>
      <c r="AE300" s="704"/>
      <c r="AF300" s="704"/>
      <c r="AG300" s="704"/>
      <c r="AH300" s="704"/>
      <c r="AI300" s="704"/>
      <c r="AJ300" s="704"/>
      <c r="AK300" s="704"/>
      <c r="AL300" s="704"/>
      <c r="AM300" s="704"/>
      <c r="AN300" s="704"/>
      <c r="AO300" s="704"/>
      <c r="AP300" s="704"/>
      <c r="AQ300" s="704"/>
      <c r="AR300" s="704"/>
    </row>
    <row r="301" spans="1:44" ht="27.75" customHeight="1" x14ac:dyDescent="0.3">
      <c r="A301" s="107"/>
      <c r="B301" s="897" t="s">
        <v>703</v>
      </c>
      <c r="C301" s="897"/>
      <c r="D301" s="897"/>
      <c r="E301" s="919"/>
      <c r="F301" s="919"/>
      <c r="G301" s="920"/>
      <c r="H301" s="17"/>
      <c r="I301" s="107"/>
      <c r="J301" s="867"/>
      <c r="M301" s="18" t="s">
        <v>1130</v>
      </c>
      <c r="Z301" s="107"/>
      <c r="AA301" s="107"/>
      <c r="AB301" s="107"/>
      <c r="AC301" s="107"/>
      <c r="AD301" s="107"/>
      <c r="AE301" s="107"/>
      <c r="AF301" s="107"/>
      <c r="AG301" s="107"/>
      <c r="AH301" s="107"/>
      <c r="AI301" s="107"/>
      <c r="AJ301" s="107"/>
      <c r="AK301" s="107"/>
      <c r="AL301" s="107"/>
      <c r="AM301" s="107"/>
      <c r="AN301" s="107"/>
      <c r="AO301" s="107"/>
      <c r="AP301" s="107"/>
      <c r="AQ301" s="107"/>
      <c r="AR301" s="107"/>
    </row>
    <row r="302" spans="1:44" ht="68.25" customHeight="1" x14ac:dyDescent="0.3">
      <c r="A302" s="107">
        <v>620</v>
      </c>
      <c r="B302" s="703" t="s">
        <v>59</v>
      </c>
      <c r="C302" s="703"/>
      <c r="D302" s="24" t="s">
        <v>702</v>
      </c>
      <c r="E302" s="940"/>
      <c r="F302" s="271"/>
      <c r="G302" s="805" t="str">
        <f>IF(F302&lt;1,"Please answer this question","")</f>
        <v>Please answer this question</v>
      </c>
      <c r="H302" s="17"/>
      <c r="I302" s="107"/>
      <c r="J302" s="867"/>
      <c r="M302" s="18" t="s">
        <v>1131</v>
      </c>
      <c r="Z302" s="107"/>
      <c r="AA302" s="107"/>
      <c r="AB302" s="107"/>
      <c r="AC302" s="107"/>
      <c r="AD302" s="107"/>
      <c r="AE302" s="107"/>
      <c r="AF302" s="107"/>
      <c r="AG302" s="107"/>
      <c r="AH302" s="107"/>
      <c r="AI302" s="107"/>
      <c r="AJ302" s="107"/>
      <c r="AK302" s="107"/>
      <c r="AL302" s="107"/>
      <c r="AM302" s="107"/>
      <c r="AN302" s="107"/>
      <c r="AO302" s="107"/>
      <c r="AP302" s="107"/>
      <c r="AQ302" s="107"/>
      <c r="AR302" s="107"/>
    </row>
    <row r="303" spans="1:44" ht="123.75" customHeight="1" x14ac:dyDescent="0.3">
      <c r="A303" s="868"/>
      <c r="B303" s="1283" t="s">
        <v>953</v>
      </c>
      <c r="C303" s="1283"/>
      <c r="D303" s="1283"/>
      <c r="E303" s="933"/>
      <c r="F303" s="933"/>
      <c r="G303" s="933"/>
      <c r="H303" s="17"/>
      <c r="I303" s="107"/>
      <c r="J303" s="867"/>
      <c r="M303" s="18" t="s">
        <v>961</v>
      </c>
      <c r="Z303" s="868"/>
      <c r="AA303" s="868"/>
      <c r="AB303" s="868"/>
      <c r="AC303" s="868"/>
      <c r="AD303" s="868"/>
      <c r="AE303" s="868"/>
      <c r="AF303" s="868"/>
      <c r="AG303" s="868"/>
      <c r="AH303" s="868"/>
      <c r="AI303" s="868"/>
      <c r="AJ303" s="868"/>
      <c r="AK303" s="868"/>
      <c r="AL303" s="868"/>
      <c r="AM303" s="868"/>
      <c r="AN303" s="868"/>
      <c r="AO303" s="868"/>
      <c r="AP303" s="868"/>
      <c r="AQ303" s="868"/>
      <c r="AR303" s="868"/>
    </row>
    <row r="304" spans="1:44" ht="63" customHeight="1" x14ac:dyDescent="0.3">
      <c r="A304" s="316">
        <v>947</v>
      </c>
      <c r="B304" s="869"/>
      <c r="C304" s="869"/>
      <c r="D304" s="173" t="s">
        <v>826</v>
      </c>
      <c r="E304" s="706"/>
      <c r="F304" s="815"/>
      <c r="G304" s="805" t="str">
        <f>IF(ISBLANK(F304),"Please do not leave blank","")</f>
        <v>Please do not leave blank</v>
      </c>
      <c r="H304" s="17"/>
      <c r="I304" s="304"/>
      <c r="J304" s="741"/>
      <c r="K304" s="304"/>
      <c r="L304" s="304"/>
      <c r="M304" s="304"/>
      <c r="O304" s="304"/>
      <c r="Z304" s="316"/>
      <c r="AA304" s="316"/>
      <c r="AB304" s="316"/>
      <c r="AC304" s="316"/>
      <c r="AD304" s="316"/>
      <c r="AE304" s="316"/>
      <c r="AF304" s="316"/>
      <c r="AG304" s="316"/>
      <c r="AH304" s="316"/>
      <c r="AI304" s="316"/>
      <c r="AJ304" s="316"/>
      <c r="AK304" s="316"/>
      <c r="AL304" s="316"/>
      <c r="AM304" s="316"/>
      <c r="AN304" s="316"/>
      <c r="AO304" s="316"/>
      <c r="AP304" s="316"/>
      <c r="AQ304" s="316"/>
      <c r="AR304" s="316"/>
    </row>
    <row r="305" spans="1:44" ht="65.25" customHeight="1" x14ac:dyDescent="0.3">
      <c r="A305" s="316">
        <v>948</v>
      </c>
      <c r="B305" s="869"/>
      <c r="C305" s="869"/>
      <c r="D305" s="173" t="s">
        <v>827</v>
      </c>
      <c r="E305" s="706"/>
      <c r="F305" s="815"/>
      <c r="G305" s="805" t="str">
        <f t="shared" ref="G305:G311" si="3">IF(ISBLANK(F305),"Please do not leave blank","")</f>
        <v>Please do not leave blank</v>
      </c>
      <c r="H305" s="17"/>
      <c r="I305" s="304"/>
      <c r="J305" s="741"/>
      <c r="K305" s="304"/>
      <c r="L305" s="304"/>
      <c r="M305" s="304"/>
      <c r="O305" s="304"/>
      <c r="Z305" s="316"/>
      <c r="AA305" s="316"/>
      <c r="AB305" s="316"/>
      <c r="AC305" s="316"/>
      <c r="AD305" s="316"/>
      <c r="AE305" s="316"/>
      <c r="AF305" s="316"/>
      <c r="AG305" s="316"/>
      <c r="AH305" s="316"/>
      <c r="AI305" s="316"/>
      <c r="AJ305" s="316"/>
      <c r="AK305" s="316"/>
      <c r="AL305" s="316"/>
      <c r="AM305" s="316"/>
      <c r="AN305" s="316"/>
      <c r="AO305" s="316"/>
      <c r="AP305" s="316"/>
      <c r="AQ305" s="316"/>
      <c r="AR305" s="316"/>
    </row>
    <row r="306" spans="1:44" ht="76.5" customHeight="1" x14ac:dyDescent="0.3">
      <c r="A306" s="316">
        <v>949</v>
      </c>
      <c r="B306" s="869"/>
      <c r="C306" s="869"/>
      <c r="D306" s="173" t="s">
        <v>828</v>
      </c>
      <c r="E306" s="706"/>
      <c r="F306" s="815"/>
      <c r="G306" s="805" t="str">
        <f t="shared" si="3"/>
        <v>Please do not leave blank</v>
      </c>
      <c r="H306" s="17"/>
      <c r="I306" s="304"/>
      <c r="J306" s="741"/>
      <c r="K306" s="304"/>
      <c r="L306" s="304"/>
      <c r="M306" s="304"/>
      <c r="O306" s="304"/>
      <c r="Z306" s="316"/>
      <c r="AA306" s="316"/>
      <c r="AB306" s="316"/>
      <c r="AC306" s="316"/>
      <c r="AD306" s="316"/>
      <c r="AE306" s="316"/>
      <c r="AF306" s="316"/>
      <c r="AG306" s="316"/>
      <c r="AH306" s="316"/>
      <c r="AI306" s="316"/>
      <c r="AJ306" s="316"/>
      <c r="AK306" s="316"/>
      <c r="AL306" s="316"/>
      <c r="AM306" s="316"/>
      <c r="AN306" s="316"/>
      <c r="AO306" s="316"/>
      <c r="AP306" s="316"/>
      <c r="AQ306" s="316"/>
      <c r="AR306" s="316"/>
    </row>
    <row r="307" spans="1:44" ht="60" customHeight="1" x14ac:dyDescent="0.3">
      <c r="A307" s="316">
        <v>950</v>
      </c>
      <c r="B307" s="869"/>
      <c r="C307" s="869"/>
      <c r="D307" s="173" t="s">
        <v>810</v>
      </c>
      <c r="E307" s="706"/>
      <c r="F307" s="815"/>
      <c r="G307" s="805" t="str">
        <f t="shared" si="3"/>
        <v>Please do not leave blank</v>
      </c>
      <c r="H307" s="17"/>
      <c r="I307" s="304"/>
      <c r="J307" s="741"/>
      <c r="K307" s="304"/>
      <c r="L307" s="304"/>
      <c r="M307" s="304"/>
      <c r="O307" s="304"/>
      <c r="Z307" s="316"/>
      <c r="AA307" s="316"/>
      <c r="AB307" s="316"/>
      <c r="AC307" s="316"/>
      <c r="AD307" s="316"/>
      <c r="AE307" s="316"/>
      <c r="AF307" s="316"/>
      <c r="AG307" s="316"/>
      <c r="AH307" s="316"/>
      <c r="AI307" s="316"/>
      <c r="AJ307" s="316"/>
      <c r="AK307" s="316"/>
      <c r="AL307" s="316"/>
      <c r="AM307" s="316"/>
      <c r="AN307" s="316"/>
      <c r="AO307" s="316"/>
      <c r="AP307" s="316"/>
      <c r="AQ307" s="316"/>
      <c r="AR307" s="316"/>
    </row>
    <row r="308" spans="1:44" ht="72" x14ac:dyDescent="0.3">
      <c r="A308" s="316">
        <v>952</v>
      </c>
      <c r="B308" s="869"/>
      <c r="C308" s="869"/>
      <c r="D308" s="816" t="s">
        <v>1532</v>
      </c>
      <c r="E308" s="706"/>
      <c r="F308" s="817"/>
      <c r="G308" s="805" t="s">
        <v>1678</v>
      </c>
      <c r="H308" s="17"/>
      <c r="I308" s="818"/>
      <c r="J308" s="741"/>
      <c r="K308" s="304"/>
      <c r="L308" s="304"/>
      <c r="M308" s="304"/>
      <c r="O308" s="304"/>
      <c r="Z308" s="316"/>
      <c r="AA308" s="316"/>
      <c r="AB308" s="316"/>
      <c r="AC308" s="316"/>
      <c r="AD308" s="316"/>
      <c r="AE308" s="316"/>
      <c r="AF308" s="316"/>
      <c r="AG308" s="316"/>
      <c r="AH308" s="316"/>
      <c r="AI308" s="316"/>
      <c r="AJ308" s="316"/>
      <c r="AK308" s="316"/>
      <c r="AL308" s="316"/>
      <c r="AM308" s="316"/>
      <c r="AN308" s="316"/>
      <c r="AO308" s="316"/>
      <c r="AP308" s="316"/>
      <c r="AQ308" s="316"/>
      <c r="AR308" s="316"/>
    </row>
    <row r="309" spans="1:44" ht="93" customHeight="1" x14ac:dyDescent="0.3">
      <c r="A309" s="316">
        <v>954</v>
      </c>
      <c r="B309" s="869"/>
      <c r="C309" s="869"/>
      <c r="D309" s="816" t="s">
        <v>811</v>
      </c>
      <c r="E309" s="706"/>
      <c r="F309" s="815"/>
      <c r="G309" s="805" t="str">
        <f t="shared" si="3"/>
        <v>Please do not leave blank</v>
      </c>
      <c r="H309" s="17"/>
      <c r="I309" s="304"/>
      <c r="J309" s="741"/>
      <c r="K309" s="304"/>
      <c r="L309" s="304"/>
      <c r="M309" s="304"/>
      <c r="O309" s="304"/>
      <c r="Z309" s="316"/>
      <c r="AA309" s="316"/>
      <c r="AB309" s="316"/>
      <c r="AC309" s="316"/>
      <c r="AD309" s="316"/>
      <c r="AE309" s="316"/>
      <c r="AF309" s="316"/>
      <c r="AG309" s="316"/>
      <c r="AH309" s="316"/>
      <c r="AI309" s="316"/>
      <c r="AJ309" s="316"/>
      <c r="AK309" s="316"/>
      <c r="AL309" s="316"/>
      <c r="AM309" s="316"/>
      <c r="AN309" s="316"/>
      <c r="AO309" s="316"/>
      <c r="AP309" s="316"/>
      <c r="AQ309" s="316"/>
      <c r="AR309" s="316"/>
    </row>
    <row r="310" spans="1:44" ht="98.25" customHeight="1" x14ac:dyDescent="0.3">
      <c r="A310" s="316">
        <v>956</v>
      </c>
      <c r="B310" s="869"/>
      <c r="C310" s="869"/>
      <c r="D310" s="816" t="s">
        <v>812</v>
      </c>
      <c r="E310" s="706"/>
      <c r="F310" s="815"/>
      <c r="G310" s="805" t="str">
        <f t="shared" si="3"/>
        <v>Please do not leave blank</v>
      </c>
      <c r="H310" s="17"/>
      <c r="I310" s="304"/>
      <c r="J310" s="308"/>
      <c r="K310" s="304"/>
      <c r="L310" s="304"/>
      <c r="M310" s="304"/>
      <c r="O310" s="304"/>
      <c r="Z310" s="316"/>
      <c r="AA310" s="316"/>
      <c r="AB310" s="316"/>
      <c r="AC310" s="316"/>
      <c r="AD310" s="316"/>
      <c r="AE310" s="316"/>
      <c r="AF310" s="316"/>
      <c r="AG310" s="316"/>
      <c r="AH310" s="316"/>
      <c r="AI310" s="316"/>
      <c r="AJ310" s="316"/>
      <c r="AK310" s="316"/>
      <c r="AL310" s="316"/>
      <c r="AM310" s="316"/>
      <c r="AN310" s="316"/>
      <c r="AO310" s="316"/>
      <c r="AP310" s="316"/>
      <c r="AQ310" s="316"/>
      <c r="AR310" s="316"/>
    </row>
    <row r="311" spans="1:44" ht="218.25" customHeight="1" x14ac:dyDescent="0.3">
      <c r="A311" s="316">
        <v>958</v>
      </c>
      <c r="B311" s="869"/>
      <c r="C311" s="869"/>
      <c r="D311" s="813" t="s">
        <v>1364</v>
      </c>
      <c r="E311" s="706"/>
      <c r="F311" s="815"/>
      <c r="G311" s="805" t="str">
        <f t="shared" si="3"/>
        <v>Please do not leave blank</v>
      </c>
      <c r="H311" s="17"/>
      <c r="I311" s="304"/>
      <c r="J311" s="304"/>
      <c r="K311" s="304"/>
      <c r="L311" s="304"/>
      <c r="M311" s="304"/>
      <c r="O311" s="304"/>
      <c r="Z311" s="316"/>
      <c r="AA311" s="316"/>
      <c r="AB311" s="316"/>
      <c r="AC311" s="316"/>
      <c r="AD311" s="316"/>
      <c r="AE311" s="316"/>
      <c r="AF311" s="316"/>
      <c r="AG311" s="316"/>
      <c r="AH311" s="316"/>
      <c r="AI311" s="316"/>
      <c r="AJ311" s="316"/>
      <c r="AK311" s="316"/>
      <c r="AL311" s="316"/>
      <c r="AM311" s="316"/>
      <c r="AN311" s="316"/>
      <c r="AO311" s="316"/>
      <c r="AP311" s="316"/>
      <c r="AQ311" s="316"/>
      <c r="AR311" s="316"/>
    </row>
    <row r="312" spans="1:44" ht="15" thickBot="1" x14ac:dyDescent="0.35">
      <c r="A312" s="107"/>
      <c r="B312" s="921"/>
      <c r="C312" s="922"/>
      <c r="D312" s="923" t="s">
        <v>814</v>
      </c>
      <c r="E312" s="907"/>
      <c r="F312" s="924"/>
      <c r="G312" s="925"/>
      <c r="H312" s="926"/>
      <c r="I312" s="304"/>
      <c r="J312" s="304"/>
      <c r="K312" s="304"/>
      <c r="L312" s="304"/>
      <c r="M312" s="304"/>
      <c r="O312" s="304"/>
      <c r="Z312" s="107"/>
      <c r="AA312" s="107"/>
      <c r="AB312" s="107"/>
      <c r="AC312" s="107"/>
      <c r="AD312" s="107"/>
      <c r="AE312" s="107"/>
      <c r="AF312" s="107"/>
      <c r="AG312" s="107"/>
      <c r="AH312" s="107"/>
      <c r="AI312" s="107"/>
      <c r="AJ312" s="107"/>
      <c r="AK312" s="107"/>
      <c r="AL312" s="107"/>
      <c r="AM312" s="107"/>
      <c r="AN312" s="107"/>
      <c r="AO312" s="107"/>
      <c r="AP312" s="107"/>
      <c r="AQ312" s="107"/>
      <c r="AR312" s="107"/>
    </row>
    <row r="313" spans="1:44" ht="15" thickBot="1" x14ac:dyDescent="0.35">
      <c r="B313" s="1280" t="s">
        <v>954</v>
      </c>
      <c r="C313" s="1281"/>
      <c r="D313" s="1281"/>
      <c r="E313" s="1282"/>
      <c r="F313" s="79"/>
      <c r="G313" s="805"/>
      <c r="H313" s="17"/>
      <c r="I313" s="107"/>
      <c r="Z313" s="18"/>
    </row>
    <row r="314" spans="1:44" ht="75.75" customHeight="1" x14ac:dyDescent="0.3">
      <c r="B314" s="1284" t="s">
        <v>955</v>
      </c>
      <c r="C314" s="1284"/>
      <c r="D314" s="1284"/>
      <c r="E314" s="1284"/>
      <c r="F314" s="79"/>
      <c r="G314" s="805"/>
      <c r="H314" s="17"/>
      <c r="I314" s="107"/>
      <c r="Z314" s="18"/>
    </row>
    <row r="315" spans="1:44" ht="15" thickBot="1" x14ac:dyDescent="0.35">
      <c r="A315" s="819"/>
      <c r="B315" s="820"/>
      <c r="C315" s="820"/>
      <c r="D315" s="821"/>
      <c r="E315" s="701"/>
      <c r="F315" s="79"/>
      <c r="G315" s="805"/>
      <c r="H315" s="17"/>
      <c r="I315" s="107"/>
      <c r="Z315" s="819"/>
      <c r="AA315" s="819"/>
      <c r="AB315" s="819"/>
      <c r="AC315" s="819"/>
      <c r="AD315" s="819"/>
      <c r="AE315" s="819"/>
      <c r="AF315" s="819"/>
      <c r="AG315" s="819"/>
      <c r="AH315" s="819"/>
      <c r="AI315" s="819"/>
      <c r="AJ315" s="819"/>
      <c r="AK315" s="819"/>
      <c r="AL315" s="819"/>
      <c r="AM315" s="819"/>
      <c r="AN315" s="819"/>
      <c r="AO315" s="819"/>
      <c r="AP315" s="819"/>
      <c r="AQ315" s="819"/>
      <c r="AR315" s="819"/>
    </row>
    <row r="316" spans="1:44" ht="15" thickBot="1" x14ac:dyDescent="0.35">
      <c r="B316" s="158" t="s">
        <v>786</v>
      </c>
      <c r="C316" s="159" t="s">
        <v>787</v>
      </c>
      <c r="D316" s="822"/>
      <c r="E316" s="823"/>
      <c r="F316" s="99"/>
      <c r="G316" s="805"/>
      <c r="H316" s="17"/>
      <c r="I316" s="107"/>
      <c r="Z316" s="18"/>
    </row>
    <row r="317" spans="1:44" ht="44.25" customHeight="1" thickBot="1" x14ac:dyDescent="0.35">
      <c r="B317" s="162" t="s">
        <v>832</v>
      </c>
      <c r="C317" s="161"/>
      <c r="D317" s="160"/>
      <c r="E317" s="707"/>
      <c r="F317" s="824"/>
      <c r="G317" s="805"/>
      <c r="H317" s="17"/>
      <c r="I317" s="107"/>
      <c r="Z317" s="18"/>
    </row>
    <row r="318" spans="1:44" ht="44.25" customHeight="1" thickBot="1" x14ac:dyDescent="0.35">
      <c r="B318" s="162"/>
      <c r="C318" s="172"/>
      <c r="D318" s="825" t="s">
        <v>943</v>
      </c>
      <c r="E318" s="826"/>
      <c r="F318" s="827"/>
      <c r="G318" s="827"/>
      <c r="H318" s="17"/>
      <c r="I318" s="107"/>
      <c r="Z318" s="18"/>
    </row>
    <row r="319" spans="1:44" ht="64.5" customHeight="1" thickBot="1" x14ac:dyDescent="0.35">
      <c r="A319" s="591">
        <v>960</v>
      </c>
      <c r="B319" s="1289" t="s">
        <v>833</v>
      </c>
      <c r="C319" s="1290"/>
      <c r="D319" s="828"/>
      <c r="E319" s="934" t="str">
        <f>IF(ISBLANK($D319),"&lt;&lt;&lt;&lt;&lt;&lt;&lt;&lt;&lt;&lt;&lt;&lt;&lt;&lt;&lt;","")</f>
        <v>&lt;&lt;&lt;&lt;&lt;&lt;&lt;&lt;&lt;&lt;&lt;&lt;&lt;&lt;&lt;</v>
      </c>
      <c r="F319" s="935" t="str">
        <f>IF(ISBLANK($D319),"Required","")</f>
        <v>Required</v>
      </c>
      <c r="G319" s="937"/>
      <c r="H319" s="763"/>
      <c r="I319" s="107"/>
      <c r="Z319" s="591"/>
      <c r="AA319" s="591"/>
      <c r="AB319" s="591"/>
      <c r="AC319" s="591"/>
      <c r="AD319" s="591"/>
      <c r="AE319" s="591"/>
      <c r="AF319" s="591"/>
      <c r="AG319" s="591"/>
      <c r="AH319" s="591"/>
      <c r="AI319" s="591"/>
      <c r="AJ319" s="591"/>
      <c r="AK319" s="591"/>
      <c r="AL319" s="591"/>
      <c r="AM319" s="591"/>
      <c r="AN319" s="591"/>
      <c r="AO319" s="591"/>
      <c r="AP319" s="591"/>
      <c r="AQ319" s="591"/>
      <c r="AR319" s="591"/>
    </row>
    <row r="320" spans="1:44" ht="30.75" customHeight="1" thickBot="1" x14ac:dyDescent="0.35">
      <c r="A320" s="591">
        <v>962</v>
      </c>
      <c r="B320" s="1285" t="s">
        <v>788</v>
      </c>
      <c r="C320" s="1286"/>
      <c r="D320" s="828"/>
      <c r="E320" s="934" t="str">
        <f>IF(ISBLANK($D320),"&lt;&lt;&lt;&lt;&lt;&lt;&lt;&lt;&lt;&lt;&lt;&lt;&lt;&lt;&lt;","")</f>
        <v>&lt;&lt;&lt;&lt;&lt;&lt;&lt;&lt;&lt;&lt;&lt;&lt;&lt;&lt;&lt;</v>
      </c>
      <c r="F320" s="935" t="str">
        <f>IF(ISBLANK($D320),"Required","")</f>
        <v>Required</v>
      </c>
      <c r="H320" s="17"/>
      <c r="I320" s="107"/>
      <c r="Z320" s="591"/>
      <c r="AA320" s="591"/>
      <c r="AB320" s="591"/>
      <c r="AC320" s="591"/>
      <c r="AD320" s="591"/>
      <c r="AE320" s="591"/>
      <c r="AF320" s="591"/>
      <c r="AG320" s="591"/>
      <c r="AH320" s="591"/>
      <c r="AI320" s="591"/>
      <c r="AJ320" s="591"/>
      <c r="AK320" s="591"/>
      <c r="AL320" s="591"/>
      <c r="AM320" s="591"/>
      <c r="AN320" s="591"/>
      <c r="AO320" s="591"/>
      <c r="AP320" s="591"/>
      <c r="AQ320" s="591"/>
      <c r="AR320" s="591"/>
    </row>
    <row r="321" spans="1:44" ht="30.75" customHeight="1" thickBot="1" x14ac:dyDescent="0.35">
      <c r="A321" s="591">
        <v>964</v>
      </c>
      <c r="B321" s="1285" t="s">
        <v>789</v>
      </c>
      <c r="C321" s="1286"/>
      <c r="D321" s="829"/>
      <c r="E321" s="934" t="str">
        <f>IF(ISBLANK($D321),"&lt;&lt;&lt;&lt;&lt;&lt;&lt;&lt;&lt;&lt;&lt;&lt;&lt;&lt;&lt;","")</f>
        <v>&lt;&lt;&lt;&lt;&lt;&lt;&lt;&lt;&lt;&lt;&lt;&lt;&lt;&lt;&lt;</v>
      </c>
      <c r="F321" s="935" t="str">
        <f>IF(ISBLANK($D321),"Required","")</f>
        <v>Required</v>
      </c>
      <c r="H321" s="17"/>
      <c r="I321" s="373"/>
      <c r="Z321" s="591"/>
      <c r="AA321" s="591"/>
      <c r="AB321" s="591"/>
      <c r="AC321" s="591"/>
      <c r="AD321" s="591"/>
      <c r="AE321" s="591"/>
      <c r="AF321" s="591"/>
      <c r="AG321" s="591"/>
      <c r="AH321" s="591"/>
      <c r="AI321" s="591"/>
      <c r="AJ321" s="591"/>
      <c r="AK321" s="591"/>
      <c r="AL321" s="591"/>
      <c r="AM321" s="591"/>
      <c r="AN321" s="591"/>
      <c r="AO321" s="591"/>
      <c r="AP321" s="591"/>
      <c r="AQ321" s="591"/>
      <c r="AR321" s="591"/>
    </row>
    <row r="322" spans="1:44" ht="30.75" customHeight="1" thickBot="1" x14ac:dyDescent="0.35">
      <c r="A322" s="591">
        <v>966</v>
      </c>
      <c r="B322" s="1285" t="s">
        <v>790</v>
      </c>
      <c r="C322" s="1286"/>
      <c r="D322" s="828"/>
      <c r="E322" s="934" t="str">
        <f>IF(ISBLANK($D322),"&lt;&lt;&lt;&lt;&lt;&lt;&lt;&lt;&lt;&lt;&lt;&lt;&lt;&lt;&lt;","")</f>
        <v>&lt;&lt;&lt;&lt;&lt;&lt;&lt;&lt;&lt;&lt;&lt;&lt;&lt;&lt;&lt;</v>
      </c>
      <c r="F322" s="935" t="str">
        <f>IF(ISBLANK($D322),"Required","")</f>
        <v>Required</v>
      </c>
      <c r="H322" s="17"/>
      <c r="I322" s="107"/>
      <c r="Z322" s="591"/>
      <c r="AA322" s="591"/>
      <c r="AB322" s="591"/>
      <c r="AC322" s="591"/>
      <c r="AD322" s="591"/>
      <c r="AE322" s="591"/>
      <c r="AF322" s="591"/>
      <c r="AG322" s="591"/>
      <c r="AH322" s="591"/>
      <c r="AI322" s="591"/>
      <c r="AJ322" s="591"/>
      <c r="AK322" s="591"/>
      <c r="AL322" s="591"/>
      <c r="AM322" s="591"/>
      <c r="AN322" s="591"/>
      <c r="AO322" s="591"/>
      <c r="AP322" s="591"/>
      <c r="AQ322" s="591"/>
      <c r="AR322" s="591"/>
    </row>
    <row r="323" spans="1:44" ht="30.75" customHeight="1" thickBot="1" x14ac:dyDescent="0.35">
      <c r="A323" s="591">
        <v>968</v>
      </c>
      <c r="B323" s="1287" t="s">
        <v>791</v>
      </c>
      <c r="C323" s="1288"/>
      <c r="D323" s="830"/>
      <c r="E323" s="936" t="str">
        <f>IF(ISBLANK($D323),"&lt;&lt;&lt;&lt;&lt;&lt;&lt;&lt;&lt;&lt;&lt;&lt;&lt;&lt;&lt;","")</f>
        <v>&lt;&lt;&lt;&lt;&lt;&lt;&lt;&lt;&lt;&lt;&lt;&lt;&lt;&lt;&lt;</v>
      </c>
      <c r="F323" s="935" t="str">
        <f>IF(ISBLANK($D323),"Required","")</f>
        <v>Required</v>
      </c>
      <c r="H323" s="17"/>
      <c r="I323" s="107"/>
      <c r="Z323" s="591"/>
      <c r="AA323" s="591"/>
      <c r="AB323" s="591"/>
      <c r="AC323" s="591"/>
      <c r="AD323" s="591"/>
      <c r="AE323" s="591"/>
      <c r="AF323" s="591"/>
      <c r="AG323" s="591"/>
      <c r="AH323" s="591"/>
      <c r="AI323" s="591"/>
      <c r="AJ323" s="591"/>
      <c r="AK323" s="591"/>
      <c r="AL323" s="591"/>
      <c r="AM323" s="591"/>
      <c r="AN323" s="591"/>
      <c r="AO323" s="591"/>
      <c r="AP323" s="591"/>
      <c r="AQ323" s="591"/>
      <c r="AR323" s="591"/>
    </row>
    <row r="324" spans="1:44" x14ac:dyDescent="0.3">
      <c r="A324" s="107"/>
      <c r="B324" s="927"/>
      <c r="C324" s="927"/>
      <c r="D324" s="938" t="s">
        <v>46</v>
      </c>
      <c r="E324" s="928"/>
      <c r="F324" s="928"/>
      <c r="G324" s="928"/>
      <c r="H324" s="929"/>
      <c r="I324" s="107"/>
    </row>
    <row r="325" spans="1:44" x14ac:dyDescent="0.3">
      <c r="A325" s="107"/>
      <c r="B325" s="703"/>
      <c r="C325" s="703"/>
      <c r="D325" s="170"/>
      <c r="E325" s="306"/>
      <c r="F325" s="831"/>
      <c r="G325" s="831"/>
      <c r="H325" s="17"/>
      <c r="I325" s="107"/>
    </row>
    <row r="326" spans="1:44" x14ac:dyDescent="0.3">
      <c r="A326" s="107"/>
      <c r="B326" s="703"/>
      <c r="C326" s="703"/>
      <c r="D326" s="24"/>
      <c r="E326" s="701"/>
      <c r="F326" s="831"/>
      <c r="G326" s="831"/>
      <c r="H326" s="17"/>
      <c r="I326" s="107"/>
    </row>
    <row r="327" spans="1:44" x14ac:dyDescent="0.3">
      <c r="A327" s="18">
        <f>SUBTOTAL(109,A7:A323)</f>
        <v>96734</v>
      </c>
    </row>
    <row r="328" spans="1:44" x14ac:dyDescent="0.3">
      <c r="A328" s="107"/>
      <c r="B328" s="870"/>
      <c r="C328" s="870"/>
      <c r="D328" s="832"/>
      <c r="E328" s="413"/>
      <c r="F328" s="18"/>
      <c r="G328" s="833"/>
      <c r="H328" s="17"/>
      <c r="I328" s="107"/>
    </row>
    <row r="329" spans="1:44" x14ac:dyDescent="0.3">
      <c r="A329" s="591"/>
      <c r="B329" s="591"/>
      <c r="C329" s="591"/>
      <c r="D329" s="832"/>
      <c r="E329" s="413"/>
      <c r="F329" s="304"/>
      <c r="G329" s="833"/>
      <c r="H329" s="17"/>
      <c r="I329" s="107"/>
    </row>
    <row r="330" spans="1:44" x14ac:dyDescent="0.3">
      <c r="A330" s="591"/>
      <c r="B330" s="591"/>
      <c r="C330" s="591"/>
      <c r="D330" s="834"/>
      <c r="E330" s="413"/>
      <c r="F330" s="304"/>
      <c r="G330" s="833"/>
      <c r="H330" s="17"/>
      <c r="I330" s="107"/>
    </row>
    <row r="331" spans="1:44" x14ac:dyDescent="0.3">
      <c r="A331" s="591"/>
      <c r="B331" s="591"/>
      <c r="C331" s="591"/>
      <c r="D331" s="834"/>
      <c r="E331" s="413"/>
      <c r="F331" s="304"/>
      <c r="G331" s="833"/>
      <c r="H331" s="17"/>
      <c r="I331" s="107"/>
    </row>
    <row r="332" spans="1:44" x14ac:dyDescent="0.3">
      <c r="A332" s="591"/>
      <c r="B332" s="591"/>
      <c r="C332" s="591"/>
      <c r="D332" s="834"/>
      <c r="E332" s="413"/>
      <c r="F332" s="304"/>
      <c r="G332" s="833"/>
      <c r="H332" s="17"/>
      <c r="I332" s="107"/>
    </row>
    <row r="333" spans="1:44" x14ac:dyDescent="0.3">
      <c r="A333" s="591"/>
      <c r="B333" s="591"/>
      <c r="C333" s="591"/>
      <c r="D333" s="834"/>
      <c r="E333" s="413"/>
      <c r="F333" s="304"/>
      <c r="G333" s="833"/>
      <c r="H333" s="17"/>
      <c r="I333" s="107"/>
    </row>
    <row r="334" spans="1:44" x14ac:dyDescent="0.3">
      <c r="A334" s="591"/>
      <c r="D334" s="631"/>
      <c r="E334" s="413"/>
      <c r="F334" s="304"/>
      <c r="H334" s="17"/>
      <c r="I334" s="107"/>
    </row>
    <row r="335" spans="1:44" x14ac:dyDescent="0.3">
      <c r="D335" s="631"/>
      <c r="E335" s="414"/>
      <c r="F335" s="304"/>
      <c r="H335" s="17"/>
      <c r="I335" s="107"/>
    </row>
    <row r="336" spans="1:44" x14ac:dyDescent="0.3">
      <c r="D336" s="631"/>
      <c r="E336" s="413"/>
      <c r="F336" s="304"/>
      <c r="H336" s="17"/>
      <c r="I336" s="107"/>
    </row>
    <row r="337" spans="4:12" x14ac:dyDescent="0.3">
      <c r="D337" s="631"/>
      <c r="E337" s="306"/>
      <c r="F337" s="304"/>
      <c r="I337" s="107"/>
    </row>
    <row r="338" spans="4:12" x14ac:dyDescent="0.3">
      <c r="E338" s="1229"/>
      <c r="F338" s="304"/>
      <c r="G338" s="836"/>
      <c r="I338" s="107"/>
    </row>
    <row r="339" spans="4:12" x14ac:dyDescent="0.3">
      <c r="E339" s="306"/>
      <c r="F339" s="304"/>
      <c r="I339" s="107"/>
    </row>
    <row r="340" spans="4:12" x14ac:dyDescent="0.3">
      <c r="E340" s="1233"/>
      <c r="F340" s="304"/>
      <c r="I340" s="107"/>
    </row>
    <row r="341" spans="4:12" x14ac:dyDescent="0.3">
      <c r="E341" s="306"/>
      <c r="F341" s="304"/>
      <c r="I341" s="107"/>
    </row>
    <row r="342" spans="4:12" x14ac:dyDescent="0.3">
      <c r="I342" s="107"/>
    </row>
    <row r="343" spans="4:12" x14ac:dyDescent="0.3">
      <c r="I343" s="107"/>
    </row>
    <row r="344" spans="4:12" x14ac:dyDescent="0.3">
      <c r="I344" s="107"/>
    </row>
    <row r="345" spans="4:12" x14ac:dyDescent="0.3">
      <c r="I345" s="107"/>
    </row>
    <row r="346" spans="4:12" x14ac:dyDescent="0.3">
      <c r="I346" s="107"/>
    </row>
    <row r="347" spans="4:12" x14ac:dyDescent="0.3">
      <c r="I347" s="107"/>
    </row>
    <row r="348" spans="4:12" x14ac:dyDescent="0.3">
      <c r="I348" s="107"/>
    </row>
    <row r="349" spans="4:12" x14ac:dyDescent="0.3">
      <c r="I349" s="304"/>
    </row>
    <row r="350" spans="4:12" x14ac:dyDescent="0.3">
      <c r="I350" s="304"/>
      <c r="K350" s="306"/>
      <c r="L350" s="306"/>
    </row>
    <row r="351" spans="4:12" x14ac:dyDescent="0.3">
      <c r="I351" s="304"/>
      <c r="K351" s="306"/>
      <c r="L351" s="306"/>
    </row>
    <row r="352" spans="4:12" x14ac:dyDescent="0.3">
      <c r="I352" s="304"/>
      <c r="K352" s="306"/>
      <c r="L352" s="306"/>
    </row>
    <row r="353" spans="9:12" x14ac:dyDescent="0.3">
      <c r="I353" s="304"/>
      <c r="K353" s="306"/>
      <c r="L353" s="306"/>
    </row>
    <row r="354" spans="9:12" x14ac:dyDescent="0.3">
      <c r="I354" s="304"/>
      <c r="K354" s="306"/>
      <c r="L354" s="306"/>
    </row>
    <row r="355" spans="9:12" x14ac:dyDescent="0.3">
      <c r="I355" s="304"/>
      <c r="K355" s="306"/>
      <c r="L355" s="306"/>
    </row>
    <row r="356" spans="9:12" x14ac:dyDescent="0.3">
      <c r="I356" s="107"/>
      <c r="K356" s="306"/>
      <c r="L356" s="306"/>
    </row>
    <row r="357" spans="9:12" x14ac:dyDescent="0.3">
      <c r="I357" s="107"/>
      <c r="K357" s="306"/>
      <c r="L357" s="306"/>
    </row>
    <row r="358" spans="9:12" x14ac:dyDescent="0.3">
      <c r="I358" s="107"/>
      <c r="J358" s="306"/>
      <c r="K358" s="306"/>
      <c r="L358" s="306"/>
    </row>
    <row r="359" spans="9:12" x14ac:dyDescent="0.3">
      <c r="I359" s="107"/>
      <c r="J359" s="306"/>
      <c r="K359" s="306"/>
      <c r="L359" s="306"/>
    </row>
    <row r="360" spans="9:12" x14ac:dyDescent="0.3">
      <c r="I360" s="107"/>
      <c r="J360" s="306"/>
      <c r="K360" s="306"/>
      <c r="L360" s="306"/>
    </row>
    <row r="361" spans="9:12" x14ac:dyDescent="0.3">
      <c r="I361" s="107"/>
      <c r="J361" s="306"/>
      <c r="K361" s="306"/>
      <c r="L361" s="306"/>
    </row>
    <row r="362" spans="9:12" x14ac:dyDescent="0.3">
      <c r="I362" s="107"/>
      <c r="J362" s="306"/>
      <c r="K362" s="306"/>
      <c r="L362" s="306"/>
    </row>
    <row r="363" spans="9:12" x14ac:dyDescent="0.3">
      <c r="I363" s="107"/>
      <c r="J363" s="306"/>
      <c r="K363" s="306"/>
      <c r="L363" s="306"/>
    </row>
    <row r="364" spans="9:12" x14ac:dyDescent="0.3">
      <c r="I364" s="107"/>
      <c r="J364" s="306"/>
      <c r="K364" s="306"/>
      <c r="L364" s="306"/>
    </row>
    <row r="365" spans="9:12" x14ac:dyDescent="0.3">
      <c r="I365" s="304"/>
      <c r="J365" s="306"/>
      <c r="K365" s="306"/>
      <c r="L365" s="306"/>
    </row>
    <row r="366" spans="9:12" x14ac:dyDescent="0.3">
      <c r="I366" s="304"/>
      <c r="J366" s="306"/>
      <c r="K366" s="306"/>
      <c r="L366" s="306"/>
    </row>
    <row r="367" spans="9:12" x14ac:dyDescent="0.3">
      <c r="I367" s="304"/>
      <c r="J367" s="306"/>
      <c r="K367" s="306"/>
      <c r="L367" s="306"/>
    </row>
    <row r="368" spans="9:12" x14ac:dyDescent="0.3">
      <c r="I368" s="304"/>
      <c r="J368" s="306"/>
      <c r="K368" s="306"/>
      <c r="L368" s="306"/>
    </row>
    <row r="369" spans="9:12" x14ac:dyDescent="0.3">
      <c r="I369" s="304"/>
      <c r="J369" s="306"/>
      <c r="K369" s="306"/>
      <c r="L369" s="306"/>
    </row>
    <row r="370" spans="9:12" x14ac:dyDescent="0.3">
      <c r="I370" s="304"/>
      <c r="J370" s="306"/>
      <c r="K370" s="306"/>
      <c r="L370" s="306"/>
    </row>
    <row r="371" spans="9:12" x14ac:dyDescent="0.3">
      <c r="I371" s="304"/>
      <c r="J371" s="306"/>
      <c r="K371" s="306"/>
      <c r="L371" s="306"/>
    </row>
    <row r="372" spans="9:12" x14ac:dyDescent="0.3">
      <c r="I372" s="304"/>
      <c r="J372" s="306"/>
      <c r="K372" s="306"/>
      <c r="L372" s="306"/>
    </row>
    <row r="373" spans="9:12" x14ac:dyDescent="0.3">
      <c r="I373" s="304"/>
      <c r="J373" s="306"/>
      <c r="K373" s="306"/>
      <c r="L373" s="306"/>
    </row>
    <row r="374" spans="9:12" x14ac:dyDescent="0.3">
      <c r="I374" s="304"/>
      <c r="J374" s="306"/>
      <c r="K374" s="306"/>
      <c r="L374" s="306"/>
    </row>
    <row r="375" spans="9:12" x14ac:dyDescent="0.3">
      <c r="I375" s="304"/>
      <c r="J375" s="306"/>
      <c r="K375" s="306"/>
      <c r="L375" s="306"/>
    </row>
    <row r="376" spans="9:12" x14ac:dyDescent="0.3">
      <c r="I376" s="304"/>
      <c r="J376" s="306"/>
      <c r="K376" s="306"/>
      <c r="L376" s="306"/>
    </row>
    <row r="377" spans="9:12" x14ac:dyDescent="0.3">
      <c r="I377" s="304"/>
      <c r="J377" s="306"/>
      <c r="K377" s="306"/>
      <c r="L377" s="306"/>
    </row>
    <row r="378" spans="9:12" x14ac:dyDescent="0.3">
      <c r="I378" s="304"/>
      <c r="J378" s="306"/>
      <c r="K378" s="306"/>
      <c r="L378" s="306"/>
    </row>
    <row r="379" spans="9:12" x14ac:dyDescent="0.3">
      <c r="I379" s="304"/>
      <c r="J379" s="306"/>
      <c r="K379" s="306"/>
      <c r="L379" s="306"/>
    </row>
    <row r="380" spans="9:12" x14ac:dyDescent="0.3">
      <c r="I380" s="304"/>
      <c r="J380" s="306"/>
      <c r="K380" s="306"/>
      <c r="L380" s="306"/>
    </row>
    <row r="381" spans="9:12" x14ac:dyDescent="0.3">
      <c r="I381" s="304"/>
      <c r="J381" s="306"/>
      <c r="K381" s="306"/>
      <c r="L381" s="306"/>
    </row>
    <row r="382" spans="9:12" x14ac:dyDescent="0.3">
      <c r="I382" s="304"/>
      <c r="J382" s="306"/>
      <c r="K382" s="306"/>
      <c r="L382" s="306"/>
    </row>
    <row r="383" spans="9:12" x14ac:dyDescent="0.3">
      <c r="I383" s="304"/>
      <c r="J383" s="306"/>
      <c r="K383" s="306"/>
      <c r="L383" s="306"/>
    </row>
    <row r="384" spans="9:12" x14ac:dyDescent="0.3">
      <c r="I384" s="304"/>
      <c r="J384" s="306"/>
      <c r="K384" s="306"/>
      <c r="L384" s="306"/>
    </row>
    <row r="385" spans="9:12" x14ac:dyDescent="0.3">
      <c r="I385" s="304"/>
      <c r="J385" s="306"/>
      <c r="K385" s="306"/>
      <c r="L385" s="306"/>
    </row>
    <row r="386" spans="9:12" x14ac:dyDescent="0.3">
      <c r="I386" s="304"/>
      <c r="J386" s="306"/>
      <c r="K386" s="306"/>
      <c r="L386" s="306"/>
    </row>
    <row r="387" spans="9:12" x14ac:dyDescent="0.3">
      <c r="I387" s="304"/>
      <c r="J387" s="306"/>
      <c r="K387" s="306"/>
      <c r="L387" s="306"/>
    </row>
    <row r="388" spans="9:12" x14ac:dyDescent="0.3">
      <c r="I388" s="304"/>
      <c r="J388" s="306"/>
      <c r="K388" s="306"/>
      <c r="L388" s="306"/>
    </row>
    <row r="389" spans="9:12" x14ac:dyDescent="0.3">
      <c r="I389" s="304"/>
      <c r="J389" s="306"/>
      <c r="K389" s="306"/>
      <c r="L389" s="306"/>
    </row>
    <row r="390" spans="9:12" x14ac:dyDescent="0.3">
      <c r="I390" s="304"/>
      <c r="J390" s="306"/>
      <c r="K390" s="306"/>
      <c r="L390" s="306"/>
    </row>
    <row r="391" spans="9:12" x14ac:dyDescent="0.3">
      <c r="I391" s="304"/>
      <c r="J391" s="306"/>
      <c r="K391" s="306"/>
      <c r="L391" s="306"/>
    </row>
    <row r="392" spans="9:12" x14ac:dyDescent="0.3">
      <c r="I392" s="304"/>
      <c r="J392" s="306"/>
      <c r="K392" s="306"/>
      <c r="L392" s="306"/>
    </row>
    <row r="393" spans="9:12" x14ac:dyDescent="0.3">
      <c r="I393" s="304"/>
      <c r="J393" s="306"/>
      <c r="K393" s="306"/>
      <c r="L393" s="306"/>
    </row>
    <row r="394" spans="9:12" x14ac:dyDescent="0.3">
      <c r="I394" s="304"/>
      <c r="J394" s="306"/>
      <c r="K394" s="306"/>
      <c r="L394" s="306"/>
    </row>
    <row r="395" spans="9:12" x14ac:dyDescent="0.3">
      <c r="I395" s="304"/>
      <c r="J395" s="306"/>
      <c r="K395" s="306"/>
      <c r="L395" s="306"/>
    </row>
    <row r="396" spans="9:12" x14ac:dyDescent="0.3">
      <c r="I396" s="304"/>
      <c r="J396" s="306"/>
      <c r="K396" s="306"/>
      <c r="L396" s="306"/>
    </row>
    <row r="397" spans="9:12" x14ac:dyDescent="0.3">
      <c r="I397" s="304"/>
      <c r="J397" s="306"/>
      <c r="K397" s="306"/>
      <c r="L397" s="306"/>
    </row>
    <row r="398" spans="9:12" x14ac:dyDescent="0.3">
      <c r="I398" s="304"/>
      <c r="J398" s="306"/>
      <c r="K398" s="306"/>
      <c r="L398" s="306"/>
    </row>
    <row r="399" spans="9:12" x14ac:dyDescent="0.3">
      <c r="I399" s="304"/>
      <c r="J399" s="306"/>
      <c r="K399" s="306"/>
      <c r="L399" s="306"/>
    </row>
    <row r="400" spans="9:12" x14ac:dyDescent="0.3">
      <c r="I400" s="304"/>
      <c r="J400" s="306"/>
      <c r="K400" s="306"/>
      <c r="L400" s="306"/>
    </row>
    <row r="401" spans="9:12" x14ac:dyDescent="0.3">
      <c r="I401" s="304"/>
      <c r="J401" s="306"/>
      <c r="K401" s="306"/>
      <c r="L401" s="306"/>
    </row>
    <row r="402" spans="9:12" x14ac:dyDescent="0.3">
      <c r="I402" s="304"/>
      <c r="J402" s="306"/>
      <c r="K402" s="306"/>
      <c r="L402" s="306"/>
    </row>
    <row r="403" spans="9:12" x14ac:dyDescent="0.3">
      <c r="I403" s="304"/>
      <c r="J403" s="306"/>
      <c r="K403" s="306"/>
      <c r="L403" s="306"/>
    </row>
    <row r="404" spans="9:12" x14ac:dyDescent="0.3">
      <c r="I404" s="304"/>
      <c r="J404" s="306"/>
      <c r="K404" s="306"/>
      <c r="L404" s="306"/>
    </row>
    <row r="405" spans="9:12" x14ac:dyDescent="0.3">
      <c r="I405" s="304"/>
      <c r="J405" s="306"/>
      <c r="K405" s="306"/>
      <c r="L405" s="306"/>
    </row>
    <row r="406" spans="9:12" x14ac:dyDescent="0.3">
      <c r="I406" s="304"/>
      <c r="J406" s="306"/>
      <c r="K406" s="306"/>
      <c r="L406" s="306"/>
    </row>
    <row r="407" spans="9:12" x14ac:dyDescent="0.3">
      <c r="I407" s="304"/>
      <c r="J407" s="306"/>
      <c r="K407" s="306"/>
      <c r="L407" s="306"/>
    </row>
    <row r="408" spans="9:12" x14ac:dyDescent="0.3">
      <c r="I408" s="304"/>
      <c r="J408" s="306"/>
      <c r="K408" s="306"/>
      <c r="L408" s="306"/>
    </row>
    <row r="409" spans="9:12" x14ac:dyDescent="0.3">
      <c r="I409" s="304"/>
      <c r="J409" s="306"/>
      <c r="K409" s="306"/>
      <c r="L409" s="306"/>
    </row>
    <row r="410" spans="9:12" x14ac:dyDescent="0.3">
      <c r="I410" s="304"/>
      <c r="J410" s="306"/>
      <c r="K410" s="306"/>
      <c r="L410" s="306"/>
    </row>
    <row r="411" spans="9:12" x14ac:dyDescent="0.3">
      <c r="I411" s="304"/>
      <c r="J411" s="306"/>
      <c r="K411" s="306"/>
      <c r="L411" s="306"/>
    </row>
    <row r="412" spans="9:12" x14ac:dyDescent="0.3">
      <c r="I412" s="304"/>
      <c r="J412" s="306"/>
      <c r="K412" s="306"/>
      <c r="L412" s="306"/>
    </row>
    <row r="413" spans="9:12" x14ac:dyDescent="0.3">
      <c r="I413" s="304"/>
      <c r="J413" s="306"/>
      <c r="K413" s="306"/>
      <c r="L413" s="306"/>
    </row>
    <row r="414" spans="9:12" x14ac:dyDescent="0.3">
      <c r="I414" s="304"/>
      <c r="J414" s="306"/>
      <c r="K414" s="306"/>
      <c r="L414" s="306"/>
    </row>
    <row r="415" spans="9:12" x14ac:dyDescent="0.3">
      <c r="I415" s="304"/>
      <c r="J415" s="306"/>
      <c r="K415" s="306"/>
      <c r="L415" s="306"/>
    </row>
    <row r="416" spans="9:12" x14ac:dyDescent="0.3">
      <c r="I416" s="304"/>
      <c r="J416" s="306"/>
      <c r="K416" s="306"/>
      <c r="L416" s="306"/>
    </row>
    <row r="417" spans="9:12" x14ac:dyDescent="0.3">
      <c r="I417" s="304"/>
      <c r="J417" s="306"/>
      <c r="K417" s="306"/>
      <c r="L417" s="306"/>
    </row>
    <row r="418" spans="9:12" x14ac:dyDescent="0.3">
      <c r="I418" s="304"/>
      <c r="J418" s="306"/>
      <c r="K418" s="306"/>
      <c r="L418" s="306"/>
    </row>
    <row r="419" spans="9:12" x14ac:dyDescent="0.3">
      <c r="I419" s="304"/>
      <c r="J419" s="306"/>
    </row>
    <row r="420" spans="9:12" x14ac:dyDescent="0.3">
      <c r="I420" s="304"/>
      <c r="J420" s="306"/>
    </row>
    <row r="421" spans="9:12" x14ac:dyDescent="0.3">
      <c r="I421" s="304"/>
      <c r="J421" s="306"/>
    </row>
    <row r="422" spans="9:12" x14ac:dyDescent="0.3">
      <c r="I422" s="304"/>
      <c r="J422" s="306"/>
    </row>
    <row r="423" spans="9:12" x14ac:dyDescent="0.3">
      <c r="I423" s="304"/>
      <c r="J423" s="306"/>
    </row>
    <row r="424" spans="9:12" x14ac:dyDescent="0.3">
      <c r="I424" s="304"/>
      <c r="J424" s="306"/>
    </row>
    <row r="425" spans="9:12" x14ac:dyDescent="0.3">
      <c r="I425" s="304"/>
      <c r="J425" s="306"/>
    </row>
    <row r="426" spans="9:12" x14ac:dyDescent="0.3">
      <c r="I426" s="304"/>
      <c r="J426" s="306"/>
    </row>
    <row r="427" spans="9:12" x14ac:dyDescent="0.3">
      <c r="I427" s="304"/>
    </row>
    <row r="428" spans="9:12" x14ac:dyDescent="0.3">
      <c r="I428" s="304"/>
    </row>
    <row r="429" spans="9:12" x14ac:dyDescent="0.3">
      <c r="I429" s="304"/>
    </row>
    <row r="430" spans="9:12" x14ac:dyDescent="0.3">
      <c r="I430" s="304"/>
    </row>
    <row r="431" spans="9:12" x14ac:dyDescent="0.3">
      <c r="I431" s="304"/>
    </row>
    <row r="432" spans="9:12" x14ac:dyDescent="0.3">
      <c r="I432" s="304"/>
    </row>
    <row r="433" spans="9:9" x14ac:dyDescent="0.3">
      <c r="I433" s="304"/>
    </row>
    <row r="434" spans="9:9" x14ac:dyDescent="0.3">
      <c r="I434" s="107"/>
    </row>
    <row r="435" spans="9:9" x14ac:dyDescent="0.3">
      <c r="I435" s="107"/>
    </row>
    <row r="436" spans="9:9" x14ac:dyDescent="0.3">
      <c r="I436" s="107"/>
    </row>
    <row r="437" spans="9:9" x14ac:dyDescent="0.3">
      <c r="I437" s="107"/>
    </row>
    <row r="438" spans="9:9" x14ac:dyDescent="0.3">
      <c r="I438" s="107"/>
    </row>
    <row r="439" spans="9:9" x14ac:dyDescent="0.3">
      <c r="I439" s="107"/>
    </row>
    <row r="440" spans="9:9" x14ac:dyDescent="0.3">
      <c r="I440" s="107"/>
    </row>
    <row r="441" spans="9:9" x14ac:dyDescent="0.3">
      <c r="I441" s="107"/>
    </row>
    <row r="442" spans="9:9" x14ac:dyDescent="0.3">
      <c r="I442" s="107"/>
    </row>
    <row r="443" spans="9:9" x14ac:dyDescent="0.3">
      <c r="I443" s="107"/>
    </row>
  </sheetData>
  <sheetProtection algorithmName="SHA-512" hashValue="wJGi+dvWJTLzLP1/kgnDb+U+Kcc6HUh1OoE2eGau3VX1Z4AI2Snvq1w3iq54gTfMoNb6uR5OT4DWnb4bBQcbzA==" saltValue="v1dx+uW6hHgdFoPv2dYp9g=="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49" priority="107" stopIfTrue="1" operator="notEqual">
      <formula>0</formula>
    </cfRule>
  </conditionalFormatting>
  <conditionalFormatting sqref="H199">
    <cfRule type="cellIs" dxfId="148" priority="105" stopIfTrue="1" operator="notEqual">
      <formula>0</formula>
    </cfRule>
  </conditionalFormatting>
  <conditionalFormatting sqref="G289:G292 G296:G297">
    <cfRule type="cellIs" dxfId="147" priority="104" stopIfTrue="1" operator="notEqual">
      <formula>0</formula>
    </cfRule>
  </conditionalFormatting>
  <conditionalFormatting sqref="H23">
    <cfRule type="cellIs" dxfId="146" priority="103" stopIfTrue="1" operator="notEqual">
      <formula>0</formula>
    </cfRule>
  </conditionalFormatting>
  <conditionalFormatting sqref="H37:H38">
    <cfRule type="cellIs" dxfId="145" priority="102" stopIfTrue="1" operator="notEqual">
      <formula>0</formula>
    </cfRule>
  </conditionalFormatting>
  <conditionalFormatting sqref="H72">
    <cfRule type="cellIs" dxfId="144" priority="101" stopIfTrue="1" operator="notEqual">
      <formula>0</formula>
    </cfRule>
  </conditionalFormatting>
  <conditionalFormatting sqref="H149">
    <cfRule type="cellIs" dxfId="143" priority="99" stopIfTrue="1" operator="notEqual">
      <formula>0</formula>
    </cfRule>
  </conditionalFormatting>
  <conditionalFormatting sqref="H168">
    <cfRule type="cellIs" dxfId="142" priority="98" stopIfTrue="1" operator="notEqual">
      <formula>0</formula>
    </cfRule>
  </conditionalFormatting>
  <conditionalFormatting sqref="H182">
    <cfRule type="cellIs" dxfId="141" priority="97" stopIfTrue="1" operator="notEqual">
      <formula>0</formula>
    </cfRule>
  </conditionalFormatting>
  <conditionalFormatting sqref="H183">
    <cfRule type="cellIs" dxfId="140"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39" priority="67" stopIfTrue="1" operator="equal">
      <formula>0</formula>
    </cfRule>
  </conditionalFormatting>
  <conditionalFormatting sqref="L260">
    <cfRule type="cellIs" dxfId="138" priority="66" stopIfTrue="1" operator="equal">
      <formula>0</formula>
    </cfRule>
  </conditionalFormatting>
  <conditionalFormatting sqref="G274">
    <cfRule type="cellIs" priority="65" stopIfTrue="1" operator="equal">
      <formula>";;;"</formula>
    </cfRule>
  </conditionalFormatting>
  <conditionalFormatting sqref="G274">
    <cfRule type="cellIs" dxfId="137" priority="64" stopIfTrue="1" operator="equal">
      <formula>0</formula>
    </cfRule>
  </conditionalFormatting>
  <conditionalFormatting sqref="G274">
    <cfRule type="cellIs" dxfId="136" priority="63" stopIfTrue="1" operator="equal">
      <formula>0</formula>
    </cfRule>
  </conditionalFormatting>
  <conditionalFormatting sqref="G273">
    <cfRule type="cellIs" priority="53" stopIfTrue="1" operator="equal">
      <formula>";;;"</formula>
    </cfRule>
  </conditionalFormatting>
  <conditionalFormatting sqref="G273">
    <cfRule type="cellIs" dxfId="135" priority="52" stopIfTrue="1" operator="equal">
      <formula>0</formula>
    </cfRule>
  </conditionalFormatting>
  <conditionalFormatting sqref="G273">
    <cfRule type="cellIs" dxfId="134" priority="51" stopIfTrue="1" operator="equal">
      <formula>0</formula>
    </cfRule>
  </conditionalFormatting>
  <conditionalFormatting sqref="J266">
    <cfRule type="cellIs" priority="50" stopIfTrue="1" operator="equal">
      <formula>";;;"</formula>
    </cfRule>
  </conditionalFormatting>
  <conditionalFormatting sqref="J266">
    <cfRule type="cellIs" dxfId="133" priority="49" stopIfTrue="1" operator="equal">
      <formula>0</formula>
    </cfRule>
  </conditionalFormatting>
  <conditionalFormatting sqref="J266">
    <cfRule type="cellIs" dxfId="132" priority="48" stopIfTrue="1" operator="equal">
      <formula>0</formula>
    </cfRule>
  </conditionalFormatting>
  <conditionalFormatting sqref="G268">
    <cfRule type="cellIs" priority="20" stopIfTrue="1" operator="equal">
      <formula>";;;"</formula>
    </cfRule>
  </conditionalFormatting>
  <conditionalFormatting sqref="G268">
    <cfRule type="cellIs" dxfId="131" priority="19" stopIfTrue="1" operator="equal">
      <formula>0</formula>
    </cfRule>
  </conditionalFormatting>
  <conditionalFormatting sqref="G268">
    <cfRule type="cellIs" dxfId="130" priority="18" stopIfTrue="1" operator="equal">
      <formula>0</formula>
    </cfRule>
  </conditionalFormatting>
  <conditionalFormatting sqref="G266">
    <cfRule type="cellIs" priority="17" stopIfTrue="1" operator="equal">
      <formula>";;;"</formula>
    </cfRule>
  </conditionalFormatting>
  <conditionalFormatting sqref="G266">
    <cfRule type="cellIs" dxfId="129" priority="16" stopIfTrue="1" operator="equal">
      <formula>0</formula>
    </cfRule>
  </conditionalFormatting>
  <conditionalFormatting sqref="G266">
    <cfRule type="cellIs" dxfId="128" priority="15" stopIfTrue="1" operator="equal">
      <formula>0</formula>
    </cfRule>
  </conditionalFormatting>
  <conditionalFormatting sqref="G267">
    <cfRule type="cellIs" priority="14" stopIfTrue="1" operator="equal">
      <formula>";;;"</formula>
    </cfRule>
  </conditionalFormatting>
  <conditionalFormatting sqref="G267">
    <cfRule type="cellIs" dxfId="127" priority="13" stopIfTrue="1" operator="equal">
      <formula>0</formula>
    </cfRule>
  </conditionalFormatting>
  <conditionalFormatting sqref="G267">
    <cfRule type="cellIs" dxfId="126" priority="12" stopIfTrue="1" operator="equal">
      <formula>0</formula>
    </cfRule>
  </conditionalFormatting>
  <conditionalFormatting sqref="G270">
    <cfRule type="cellIs" priority="11" stopIfTrue="1" operator="equal">
      <formula>";;;"</formula>
    </cfRule>
  </conditionalFormatting>
  <conditionalFormatting sqref="G270">
    <cfRule type="cellIs" dxfId="125" priority="10" stopIfTrue="1" operator="equal">
      <formula>0</formula>
    </cfRule>
  </conditionalFormatting>
  <conditionalFormatting sqref="G270">
    <cfRule type="cellIs" dxfId="124" priority="9" stopIfTrue="1" operator="equal">
      <formula>0</formula>
    </cfRule>
  </conditionalFormatting>
  <conditionalFormatting sqref="G272">
    <cfRule type="cellIs" priority="3" stopIfTrue="1" operator="equal">
      <formula>";;;"</formula>
    </cfRule>
  </conditionalFormatting>
  <conditionalFormatting sqref="G272">
    <cfRule type="cellIs" dxfId="123" priority="2" stopIfTrue="1" operator="equal">
      <formula>0</formula>
    </cfRule>
  </conditionalFormatting>
  <conditionalFormatting sqref="G272">
    <cfRule type="cellIs" dxfId="122"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T96"/>
  <sheetViews>
    <sheetView showGridLines="0" zoomScaleNormal="100" workbookViewId="0">
      <selection activeCell="G41" sqref="G41"/>
    </sheetView>
  </sheetViews>
  <sheetFormatPr defaultColWidth="9.33203125" defaultRowHeight="14.4" x14ac:dyDescent="0.3"/>
  <cols>
    <col min="1" max="1" width="2.6640625" style="193" customWidth="1"/>
    <col min="2" max="3" width="2.33203125" style="193" customWidth="1"/>
    <col min="4" max="4" width="7.44140625" style="260" customWidth="1"/>
    <col min="5" max="5" width="43.6640625" style="248" customWidth="1"/>
    <col min="6" max="6" width="53.33203125" style="248" customWidth="1"/>
    <col min="7" max="7" width="18.6640625" style="193" customWidth="1"/>
    <col min="8" max="8" width="44.44140625" style="193" customWidth="1"/>
    <col min="9" max="9" width="9.44140625" style="193" customWidth="1"/>
    <col min="10" max="10" width="9.33203125" style="248"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39" max="40" width="9.33203125" style="1269"/>
    <col min="41" max="46" width="9.33203125" style="194"/>
    <col min="47" max="16384" width="9.33203125" style="193"/>
  </cols>
  <sheetData>
    <row r="1" spans="1:46" ht="87" customHeight="1" thickBot="1" x14ac:dyDescent="0.35">
      <c r="B1" s="1321" t="s">
        <v>1851</v>
      </c>
      <c r="C1" s="1322"/>
      <c r="D1" s="1322"/>
      <c r="E1" s="1322"/>
      <c r="F1" s="1322"/>
      <c r="G1" s="1322"/>
      <c r="H1" s="1322"/>
      <c r="I1" s="1322"/>
      <c r="J1" s="1323"/>
    </row>
    <row r="2" spans="1:46" s="195" customFormat="1" ht="16.8" hidden="1" thickBot="1" x14ac:dyDescent="0.35">
      <c r="B2" s="1324" t="s">
        <v>962</v>
      </c>
      <c r="C2" s="1325"/>
      <c r="D2" s="1325"/>
      <c r="E2" s="1325"/>
      <c r="F2" s="1325"/>
      <c r="G2" s="1325"/>
      <c r="H2" s="1325"/>
      <c r="I2" s="1325"/>
      <c r="J2" s="1326"/>
      <c r="K2"/>
      <c r="L2"/>
      <c r="M2"/>
      <c r="N2"/>
      <c r="O2"/>
      <c r="P2"/>
      <c r="Q2"/>
      <c r="R2"/>
      <c r="S2"/>
      <c r="T2"/>
      <c r="U2"/>
      <c r="V2"/>
      <c r="W2"/>
      <c r="X2"/>
      <c r="Y2"/>
      <c r="Z2"/>
      <c r="AA2"/>
      <c r="AB2"/>
      <c r="AC2"/>
      <c r="AD2"/>
      <c r="AE2"/>
      <c r="AF2"/>
      <c r="AG2"/>
      <c r="AH2"/>
      <c r="AI2"/>
      <c r="AJ2"/>
      <c r="AK2"/>
      <c r="AL2"/>
      <c r="AM2" s="1269"/>
      <c r="AN2" s="1269"/>
      <c r="AO2" s="194"/>
      <c r="AP2" s="194"/>
      <c r="AQ2" s="194"/>
      <c r="AR2" s="1267"/>
      <c r="AS2" s="1267"/>
      <c r="AT2" s="1267"/>
    </row>
    <row r="3" spans="1:46" s="197" customFormat="1" ht="39" hidden="1" customHeight="1" thickBot="1" x14ac:dyDescent="0.35">
      <c r="A3" s="193"/>
      <c r="B3" s="1327" t="s">
        <v>963</v>
      </c>
      <c r="C3" s="1328"/>
      <c r="D3" s="1328"/>
      <c r="E3" s="1328"/>
      <c r="F3" s="1328"/>
      <c r="G3" s="1328"/>
      <c r="H3" s="1328"/>
      <c r="I3" s="1328"/>
      <c r="J3" s="1329"/>
      <c r="K3"/>
      <c r="L3"/>
      <c r="M3"/>
      <c r="N3"/>
      <c r="O3"/>
      <c r="P3"/>
      <c r="Q3"/>
      <c r="R3"/>
      <c r="S3"/>
      <c r="T3"/>
      <c r="U3"/>
      <c r="V3"/>
      <c r="W3"/>
      <c r="X3"/>
      <c r="Y3"/>
      <c r="Z3"/>
      <c r="AA3"/>
      <c r="AB3"/>
      <c r="AC3"/>
      <c r="AD3"/>
      <c r="AE3"/>
      <c r="AF3"/>
      <c r="AG3"/>
      <c r="AH3"/>
      <c r="AI3"/>
      <c r="AJ3"/>
      <c r="AK3"/>
      <c r="AL3"/>
      <c r="AM3" s="1270"/>
      <c r="AN3" s="1270"/>
      <c r="AO3" s="196"/>
      <c r="AP3" s="196"/>
      <c r="AQ3" s="196"/>
      <c r="AR3" s="196"/>
      <c r="AS3" s="196"/>
      <c r="AT3" s="196"/>
    </row>
    <row r="4" spans="1:46" ht="25.35" customHeight="1" x14ac:dyDescent="0.3">
      <c r="B4" s="1262" t="s">
        <v>964</v>
      </c>
      <c r="C4" s="1259"/>
      <c r="D4" s="1259"/>
      <c r="E4" s="1259"/>
      <c r="F4" s="1260"/>
      <c r="G4" s="1260"/>
      <c r="H4" s="1260"/>
      <c r="I4" s="1260"/>
      <c r="J4" s="1261"/>
    </row>
    <row r="5" spans="1:46" ht="27" hidden="1" customHeight="1" x14ac:dyDescent="0.3">
      <c r="B5" s="1333" t="s">
        <v>1703</v>
      </c>
      <c r="C5" s="1334"/>
      <c r="D5" s="1334"/>
      <c r="E5" s="1334"/>
      <c r="F5" s="1334"/>
      <c r="G5" s="1334"/>
      <c r="H5" s="1334"/>
      <c r="I5" s="1334"/>
      <c r="J5" s="1335"/>
    </row>
    <row r="6" spans="1:46" ht="27" hidden="1" customHeight="1" x14ac:dyDescent="0.3">
      <c r="B6" s="991"/>
      <c r="C6" s="992"/>
      <c r="D6" s="992"/>
      <c r="E6" s="992"/>
      <c r="F6" s="992"/>
      <c r="G6" s="992"/>
      <c r="H6" s="992"/>
      <c r="I6" s="992"/>
      <c r="J6" s="993"/>
    </row>
    <row r="7" spans="1:46" ht="25.35" customHeight="1" thickBot="1" x14ac:dyDescent="0.35">
      <c r="B7" s="1330" t="s">
        <v>965</v>
      </c>
      <c r="C7" s="1331"/>
      <c r="D7" s="1331"/>
      <c r="E7" s="1331"/>
      <c r="F7" s="1331"/>
      <c r="G7" s="1331"/>
      <c r="H7" s="1331"/>
      <c r="I7" s="1331"/>
      <c r="J7" s="1332"/>
    </row>
    <row r="8" spans="1:46" ht="39" hidden="1" customHeight="1" thickBot="1" x14ac:dyDescent="0.35">
      <c r="B8" s="198"/>
      <c r="C8" s="199"/>
      <c r="D8" s="200" t="s">
        <v>966</v>
      </c>
      <c r="E8" s="201"/>
      <c r="F8" s="202"/>
      <c r="G8" s="202"/>
      <c r="H8" s="202"/>
      <c r="I8" s="202"/>
      <c r="J8" s="203"/>
    </row>
    <row r="9" spans="1:46" s="204" customFormat="1" ht="15" hidden="1" thickBot="1" x14ac:dyDescent="0.35">
      <c r="B9" s="205"/>
      <c r="C9" s="206"/>
      <c r="D9" s="255" t="s">
        <v>757</v>
      </c>
      <c r="E9" s="207"/>
      <c r="F9" s="207"/>
      <c r="G9" s="207"/>
      <c r="H9" s="208"/>
      <c r="I9" s="208"/>
      <c r="J9" s="209"/>
      <c r="K9"/>
      <c r="L9"/>
      <c r="M9"/>
      <c r="N9"/>
      <c r="O9"/>
      <c r="P9"/>
      <c r="Q9"/>
      <c r="R9"/>
      <c r="S9"/>
      <c r="T9"/>
      <c r="U9"/>
      <c r="V9"/>
      <c r="W9"/>
      <c r="X9"/>
      <c r="Y9"/>
      <c r="Z9"/>
      <c r="AA9"/>
      <c r="AB9"/>
      <c r="AC9"/>
      <c r="AD9"/>
      <c r="AE9"/>
      <c r="AF9"/>
      <c r="AG9"/>
      <c r="AH9"/>
      <c r="AI9"/>
      <c r="AJ9"/>
      <c r="AK9"/>
      <c r="AL9"/>
      <c r="AM9" s="1269"/>
      <c r="AN9" s="1269"/>
      <c r="AO9" s="194"/>
      <c r="AP9" s="194"/>
      <c r="AQ9" s="194"/>
      <c r="AR9" s="194"/>
      <c r="AS9" s="194"/>
      <c r="AT9" s="194"/>
    </row>
    <row r="10" spans="1:46" ht="19.5" hidden="1" customHeight="1" thickBot="1" x14ac:dyDescent="0.35">
      <c r="B10" s="210"/>
      <c r="C10" s="211"/>
      <c r="D10" s="313" t="s">
        <v>1227</v>
      </c>
      <c r="E10" s="1297" t="s">
        <v>967</v>
      </c>
      <c r="F10" s="1297"/>
      <c r="G10" s="1291"/>
      <c r="H10" s="1292"/>
      <c r="I10" s="1293"/>
      <c r="J10" s="212"/>
    </row>
    <row r="11" spans="1:46" ht="14.25" hidden="1" customHeight="1" thickBot="1" x14ac:dyDescent="0.35">
      <c r="B11" s="210"/>
      <c r="C11" s="211"/>
      <c r="D11" s="255"/>
      <c r="E11" s="207"/>
      <c r="F11" s="207"/>
      <c r="G11" s="213" t="str">
        <f>IF(U9&gt;0,"PLEASE SEE INSTRUCTIONS REGARDING NAME","")</f>
        <v/>
      </c>
      <c r="H11" s="214"/>
      <c r="I11" s="214"/>
      <c r="J11" s="212"/>
    </row>
    <row r="12" spans="1:46" ht="21" hidden="1" customHeight="1" thickBot="1" x14ac:dyDescent="0.35">
      <c r="B12" s="210"/>
      <c r="C12" s="211"/>
      <c r="D12" s="314" t="s">
        <v>1228</v>
      </c>
      <c r="E12" s="1297" t="s">
        <v>1432</v>
      </c>
      <c r="F12" s="1297"/>
      <c r="G12" s="215"/>
      <c r="H12" s="214"/>
      <c r="I12" s="214"/>
      <c r="J12" s="212"/>
    </row>
    <row r="13" spans="1:46" ht="6.75" hidden="1" customHeight="1" thickBot="1" x14ac:dyDescent="0.35">
      <c r="B13" s="210"/>
      <c r="C13" s="211"/>
      <c r="D13" s="255"/>
      <c r="E13" s="216"/>
      <c r="F13" s="216"/>
      <c r="G13" s="214"/>
      <c r="H13" s="214"/>
      <c r="I13" s="214"/>
      <c r="J13" s="212"/>
    </row>
    <row r="14" spans="1:46" ht="26.25" hidden="1" customHeight="1" thickBot="1" x14ac:dyDescent="0.35">
      <c r="B14" s="210"/>
      <c r="C14" s="211"/>
      <c r="D14" s="261">
        <v>900</v>
      </c>
      <c r="E14" s="1297" t="s">
        <v>968</v>
      </c>
      <c r="F14" s="1297"/>
      <c r="G14" s="217"/>
      <c r="H14" s="214"/>
      <c r="I14" s="214"/>
      <c r="J14" s="212"/>
    </row>
    <row r="15" spans="1:46" ht="6.75" hidden="1" customHeight="1" thickBot="1" x14ac:dyDescent="0.35">
      <c r="B15" s="210"/>
      <c r="C15" s="211"/>
      <c r="D15" s="261"/>
      <c r="E15" s="216"/>
      <c r="F15" s="216"/>
      <c r="G15" s="214"/>
      <c r="H15" s="214"/>
      <c r="I15" s="214"/>
      <c r="J15" s="212"/>
    </row>
    <row r="16" spans="1:46" ht="26.25" hidden="1" customHeight="1" thickBot="1" x14ac:dyDescent="0.35">
      <c r="B16" s="210"/>
      <c r="C16" s="211"/>
      <c r="D16" s="261" t="s">
        <v>1149</v>
      </c>
      <c r="E16" s="1311" t="s">
        <v>969</v>
      </c>
      <c r="F16" s="1311"/>
      <c r="G16" s="1312"/>
      <c r="H16" s="1292"/>
      <c r="I16" s="1293"/>
      <c r="J16" s="212"/>
    </row>
    <row r="17" spans="2:10" ht="6.75" hidden="1" customHeight="1" thickBot="1" x14ac:dyDescent="0.35">
      <c r="B17" s="210"/>
      <c r="C17" s="211"/>
      <c r="D17" s="261"/>
      <c r="E17" s="216"/>
      <c r="F17" s="216"/>
      <c r="G17" s="214"/>
      <c r="H17" s="214"/>
      <c r="I17" s="214"/>
      <c r="J17" s="212"/>
    </row>
    <row r="18" spans="2:10" ht="24" hidden="1" customHeight="1" thickBot="1" x14ac:dyDescent="0.35">
      <c r="B18" s="210"/>
      <c r="C18" s="211"/>
      <c r="D18" s="261" t="s">
        <v>1150</v>
      </c>
      <c r="E18" s="1311" t="s">
        <v>970</v>
      </c>
      <c r="F18" s="1311"/>
      <c r="G18" s="1291"/>
      <c r="H18" s="1292"/>
      <c r="I18" s="1293"/>
      <c r="J18" s="212"/>
    </row>
    <row r="19" spans="2:10" ht="6.75" hidden="1" customHeight="1" thickBot="1" x14ac:dyDescent="0.35">
      <c r="B19" s="210"/>
      <c r="C19" s="211"/>
      <c r="D19" s="261"/>
      <c r="E19" s="216"/>
      <c r="F19" s="216"/>
      <c r="G19" s="214"/>
      <c r="H19" s="214"/>
      <c r="I19" s="214"/>
      <c r="J19" s="212"/>
    </row>
    <row r="20" spans="2:10" ht="24" hidden="1" customHeight="1" thickBot="1" x14ac:dyDescent="0.35">
      <c r="B20" s="210"/>
      <c r="C20" s="211"/>
      <c r="D20" s="261" t="s">
        <v>1151</v>
      </c>
      <c r="E20" s="1311" t="s">
        <v>971</v>
      </c>
      <c r="F20" s="1311"/>
      <c r="G20" s="1291"/>
      <c r="H20" s="1292"/>
      <c r="I20" s="1293"/>
      <c r="J20" s="212"/>
    </row>
    <row r="21" spans="2:10" ht="6.75" hidden="1" customHeight="1" thickBot="1" x14ac:dyDescent="0.35">
      <c r="B21" s="210"/>
      <c r="C21" s="211"/>
      <c r="D21" s="261"/>
      <c r="E21" s="216"/>
      <c r="F21" s="216"/>
      <c r="G21" s="214"/>
      <c r="H21" s="214"/>
      <c r="I21" s="214"/>
      <c r="J21" s="212"/>
    </row>
    <row r="22" spans="2:10" ht="24" hidden="1" customHeight="1" thickBot="1" x14ac:dyDescent="0.35">
      <c r="B22" s="210"/>
      <c r="C22" s="211"/>
      <c r="D22" s="261" t="s">
        <v>1152</v>
      </c>
      <c r="E22" s="1311" t="s">
        <v>972</v>
      </c>
      <c r="F22" s="1311"/>
      <c r="G22" s="1312"/>
      <c r="H22" s="1292"/>
      <c r="I22" s="1293"/>
      <c r="J22" s="212"/>
    </row>
    <row r="23" spans="2:10" ht="6.75" hidden="1" customHeight="1" thickBot="1" x14ac:dyDescent="0.35">
      <c r="B23" s="210"/>
      <c r="C23" s="211"/>
      <c r="D23" s="261"/>
      <c r="E23" s="216"/>
      <c r="F23" s="216"/>
      <c r="G23" s="214"/>
      <c r="H23" s="214"/>
      <c r="I23" s="214"/>
      <c r="J23" s="212"/>
    </row>
    <row r="24" spans="2:10" ht="24" hidden="1" customHeight="1" thickBot="1" x14ac:dyDescent="0.35">
      <c r="B24" s="210"/>
      <c r="C24" s="211"/>
      <c r="D24" s="261" t="s">
        <v>1153</v>
      </c>
      <c r="E24" s="1311" t="s">
        <v>973</v>
      </c>
      <c r="F24" s="1311"/>
      <c r="G24" s="1312"/>
      <c r="H24" s="1292"/>
      <c r="I24" s="1293"/>
      <c r="J24" s="212"/>
    </row>
    <row r="25" spans="2:10" ht="6.75" hidden="1" customHeight="1" thickBot="1" x14ac:dyDescent="0.35">
      <c r="B25" s="210"/>
      <c r="C25" s="211"/>
      <c r="D25" s="262"/>
      <c r="E25" s="207"/>
      <c r="F25" s="207"/>
      <c r="G25" s="211"/>
      <c r="H25" s="211"/>
      <c r="I25" s="211"/>
      <c r="J25" s="212"/>
    </row>
    <row r="26" spans="2:10" ht="18.75" hidden="1" customHeight="1" thickBot="1" x14ac:dyDescent="0.35">
      <c r="B26" s="210"/>
      <c r="C26" s="211"/>
      <c r="D26" s="261" t="s">
        <v>1229</v>
      </c>
      <c r="E26" s="1297" t="s">
        <v>974</v>
      </c>
      <c r="F26" s="1297"/>
      <c r="G26" s="1313"/>
      <c r="H26" s="1314"/>
      <c r="I26" s="218"/>
      <c r="J26" s="212"/>
    </row>
    <row r="27" spans="2:10" ht="28.5" hidden="1" customHeight="1" thickBot="1" x14ac:dyDescent="0.35">
      <c r="B27" s="210"/>
      <c r="C27" s="211"/>
      <c r="D27" s="261"/>
      <c r="E27" s="1315" t="str">
        <f>IF(G26="Housing Authority", CONCATENATE("SKIP Questions ",D28,"-",D66),"")</f>
        <v/>
      </c>
      <c r="F27" s="1315"/>
      <c r="G27" s="1315"/>
      <c r="H27" s="1315"/>
      <c r="I27" s="218"/>
      <c r="J27" s="212"/>
    </row>
    <row r="28" spans="2:10" ht="28.5" hidden="1" customHeight="1" thickBot="1" x14ac:dyDescent="0.35">
      <c r="B28" s="210"/>
      <c r="C28" s="211"/>
      <c r="D28" s="261" t="s">
        <v>1155</v>
      </c>
      <c r="E28" s="1297" t="s">
        <v>975</v>
      </c>
      <c r="F28" s="1297"/>
      <c r="G28" s="219"/>
      <c r="H28" s="1316">
        <f>+O28</f>
        <v>0</v>
      </c>
      <c r="I28" s="1317"/>
      <c r="J28" s="212"/>
    </row>
    <row r="29" spans="2:10" ht="6.75" hidden="1" customHeight="1" thickBot="1" x14ac:dyDescent="0.35">
      <c r="B29" s="210"/>
      <c r="C29" s="211"/>
      <c r="D29" s="262"/>
      <c r="E29" s="207"/>
      <c r="F29" s="207"/>
      <c r="G29" s="220"/>
      <c r="H29" s="207"/>
      <c r="I29" s="221"/>
      <c r="J29" s="212"/>
    </row>
    <row r="30" spans="2:10" ht="18.75" hidden="1" customHeight="1" thickBot="1" x14ac:dyDescent="0.35">
      <c r="B30" s="210"/>
      <c r="C30" s="211"/>
      <c r="D30" s="261" t="s">
        <v>1154</v>
      </c>
      <c r="E30" s="1297" t="s">
        <v>976</v>
      </c>
      <c r="F30" s="1297"/>
      <c r="G30" s="222"/>
      <c r="H30" s="1318"/>
      <c r="I30" s="1318"/>
      <c r="J30" s="212"/>
    </row>
    <row r="31" spans="2:10" ht="6.75" hidden="1" customHeight="1" thickBot="1" x14ac:dyDescent="0.35">
      <c r="B31" s="210"/>
      <c r="C31" s="211"/>
      <c r="D31" s="262"/>
      <c r="E31" s="207"/>
      <c r="F31" s="207"/>
      <c r="G31" s="211"/>
      <c r="H31" s="211"/>
      <c r="I31" s="211"/>
      <c r="J31" s="212"/>
    </row>
    <row r="32" spans="2:10" ht="27.75" hidden="1" customHeight="1" thickBot="1" x14ac:dyDescent="0.35">
      <c r="B32" s="210"/>
      <c r="C32" s="211"/>
      <c r="D32" s="261" t="s">
        <v>1156</v>
      </c>
      <c r="E32" s="1319" t="s">
        <v>977</v>
      </c>
      <c r="F32" s="1320"/>
      <c r="G32" s="1308"/>
      <c r="H32" s="1309"/>
      <c r="I32" s="1310"/>
      <c r="J32" s="212"/>
    </row>
    <row r="33" spans="2:10" ht="6.75" hidden="1" customHeight="1" thickBot="1" x14ac:dyDescent="0.35">
      <c r="B33" s="210"/>
      <c r="C33" s="211"/>
      <c r="D33" s="262"/>
      <c r="E33" s="207"/>
      <c r="F33" s="207"/>
      <c r="G33" s="211"/>
      <c r="H33" s="211"/>
      <c r="I33" s="211"/>
      <c r="J33" s="212"/>
    </row>
    <row r="34" spans="2:10" ht="17.25" hidden="1" customHeight="1" thickBot="1" x14ac:dyDescent="0.35">
      <c r="B34" s="210"/>
      <c r="C34" s="211"/>
      <c r="D34" s="261" t="s">
        <v>1157</v>
      </c>
      <c r="E34" s="216" t="s">
        <v>978</v>
      </c>
      <c r="F34" s="216"/>
      <c r="G34" s="1291"/>
      <c r="H34" s="1292"/>
      <c r="I34" s="1293"/>
      <c r="J34" s="212"/>
    </row>
    <row r="35" spans="2:10" ht="6.75" hidden="1" customHeight="1" thickBot="1" x14ac:dyDescent="0.35">
      <c r="B35" s="210"/>
      <c r="C35" s="211"/>
      <c r="D35" s="262"/>
      <c r="E35" s="207"/>
      <c r="F35" s="207"/>
      <c r="G35" s="211"/>
      <c r="H35" s="211"/>
      <c r="I35" s="211"/>
      <c r="J35" s="212"/>
    </row>
    <row r="36" spans="2:10" ht="18" hidden="1" customHeight="1" thickBot="1" x14ac:dyDescent="0.35">
      <c r="B36" s="210"/>
      <c r="C36" s="211"/>
      <c r="D36" s="261" t="s">
        <v>1158</v>
      </c>
      <c r="E36" s="1297" t="s">
        <v>979</v>
      </c>
      <c r="F36" s="1303"/>
      <c r="G36" s="1291"/>
      <c r="H36" s="1292"/>
      <c r="I36" s="1293"/>
      <c r="J36" s="212"/>
    </row>
    <row r="37" spans="2:10" ht="8.25" hidden="1" customHeight="1" thickBot="1" x14ac:dyDescent="0.35">
      <c r="B37" s="210"/>
      <c r="C37" s="211"/>
      <c r="D37" s="255"/>
      <c r="E37" s="1304"/>
      <c r="F37" s="1304"/>
      <c r="G37" s="1304"/>
      <c r="H37" s="1304"/>
      <c r="I37" s="218"/>
      <c r="J37" s="212"/>
    </row>
    <row r="38" spans="2:10" ht="39" customHeight="1" thickBot="1" x14ac:dyDescent="0.35">
      <c r="B38" s="1305" t="s">
        <v>1702</v>
      </c>
      <c r="C38" s="1306"/>
      <c r="D38" s="1306"/>
      <c r="E38" s="1306"/>
      <c r="F38" s="1306"/>
      <c r="G38" s="1306"/>
      <c r="H38" s="1306"/>
      <c r="I38" s="1306"/>
      <c r="J38" s="1307"/>
    </row>
    <row r="39" spans="2:10" ht="4.5" customHeight="1" x14ac:dyDescent="0.3">
      <c r="B39" s="210"/>
      <c r="C39" s="211"/>
      <c r="D39" s="256"/>
      <c r="E39" s="207"/>
      <c r="F39" s="207"/>
      <c r="G39" s="211"/>
      <c r="H39" s="211"/>
      <c r="I39" s="211"/>
      <c r="J39" s="212"/>
    </row>
    <row r="40" spans="2:10" ht="4.5" customHeight="1" thickBot="1" x14ac:dyDescent="0.35">
      <c r="B40" s="210"/>
      <c r="C40" s="211"/>
      <c r="D40" s="256"/>
      <c r="E40" s="207"/>
      <c r="F40" s="207"/>
      <c r="G40" s="211"/>
      <c r="H40" s="211"/>
      <c r="I40" s="211"/>
      <c r="J40" s="212"/>
    </row>
    <row r="41" spans="2:10" ht="30.75" customHeight="1" thickBot="1" x14ac:dyDescent="0.35">
      <c r="B41" s="210"/>
      <c r="C41" s="211"/>
      <c r="D41" s="255">
        <v>906</v>
      </c>
      <c r="E41" s="1297" t="s">
        <v>980</v>
      </c>
      <c r="F41" s="1297"/>
      <c r="G41" s="219"/>
      <c r="H41" s="310" t="str">
        <f>IF(G41="","This Question must be answered before uploading, the report will not be processed if left blank","")</f>
        <v>This Question must be answered before uploading, the report will not be processed if left blank</v>
      </c>
      <c r="I41" s="211"/>
      <c r="J41" s="212"/>
    </row>
    <row r="42" spans="2:10" ht="6.75" customHeight="1" thickBot="1" x14ac:dyDescent="0.35">
      <c r="B42" s="210"/>
      <c r="C42" s="211"/>
      <c r="D42" s="255"/>
      <c r="E42" s="216"/>
      <c r="F42" s="216"/>
      <c r="G42" s="220"/>
      <c r="H42" s="211"/>
      <c r="I42" s="211"/>
      <c r="J42" s="212"/>
    </row>
    <row r="43" spans="2:10" ht="32.25" customHeight="1" thickBot="1" x14ac:dyDescent="0.35">
      <c r="B43" s="210"/>
      <c r="C43" s="211"/>
      <c r="D43" s="255">
        <v>907</v>
      </c>
      <c r="E43" s="1297" t="s">
        <v>981</v>
      </c>
      <c r="F43" s="1297"/>
      <c r="G43" s="219"/>
      <c r="H43" s="310" t="str">
        <f>IF(G43="","This Question must be answered before uploading, the report will not be processed if left blank","")</f>
        <v>This Question must be answered before uploading, the report will not be processed if left blank</v>
      </c>
      <c r="I43" s="211"/>
      <c r="J43" s="212"/>
    </row>
    <row r="44" spans="2:10" ht="6.75" customHeight="1" thickBot="1" x14ac:dyDescent="0.35">
      <c r="B44" s="210"/>
      <c r="C44" s="211"/>
      <c r="D44" s="255"/>
      <c r="E44" s="216"/>
      <c r="F44" s="216"/>
      <c r="G44" s="220"/>
      <c r="H44" s="211"/>
      <c r="I44" s="211"/>
      <c r="J44" s="212"/>
    </row>
    <row r="45" spans="2:10" ht="32.25" customHeight="1" thickBot="1" x14ac:dyDescent="0.35">
      <c r="B45" s="210"/>
      <c r="C45" s="211"/>
      <c r="D45" s="255">
        <v>951</v>
      </c>
      <c r="E45" s="1297" t="s">
        <v>982</v>
      </c>
      <c r="F45" s="1297"/>
      <c r="G45" s="219"/>
      <c r="H45" s="310" t="str">
        <f>IF(G45="","This Question must be answered before uploading, the report will not be processed if left blank","")</f>
        <v>This Question must be answered before uploading, the report will not be processed if left blank</v>
      </c>
      <c r="I45" s="207"/>
      <c r="J45" s="212"/>
    </row>
    <row r="46" spans="2:10" ht="6.75" customHeight="1" thickBot="1" x14ac:dyDescent="0.35">
      <c r="B46" s="210"/>
      <c r="C46" s="211"/>
      <c r="D46" s="255"/>
      <c r="E46" s="216"/>
      <c r="F46" s="216"/>
      <c r="G46" s="220"/>
      <c r="H46" s="211"/>
      <c r="I46" s="211"/>
      <c r="J46" s="212"/>
    </row>
    <row r="47" spans="2:10" ht="33" customHeight="1" thickBot="1" x14ac:dyDescent="0.35">
      <c r="B47" s="210"/>
      <c r="C47" s="211"/>
      <c r="D47" s="255">
        <v>953</v>
      </c>
      <c r="E47" s="1297" t="s">
        <v>983</v>
      </c>
      <c r="F47" s="1297"/>
      <c r="G47" s="219"/>
      <c r="H47" s="310" t="str">
        <f>IF(G47="","This Question must be answered before uploading, the report will not be processed if left blank","")</f>
        <v>This Question must be answered before uploading, the report will not be processed if left blank</v>
      </c>
      <c r="I47" s="207"/>
      <c r="J47" s="212"/>
    </row>
    <row r="48" spans="2:10" ht="6.75" customHeight="1" thickBot="1" x14ac:dyDescent="0.35">
      <c r="B48" s="210"/>
      <c r="C48" s="211"/>
      <c r="D48" s="257"/>
      <c r="E48" s="216"/>
      <c r="F48" s="216"/>
      <c r="G48" s="220"/>
      <c r="H48" s="211"/>
      <c r="I48" s="211"/>
      <c r="J48" s="212"/>
    </row>
    <row r="49" spans="2:46" ht="32.25" customHeight="1" thickBot="1" x14ac:dyDescent="0.35">
      <c r="B49" s="210"/>
      <c r="C49" s="211"/>
      <c r="D49" s="255">
        <v>955</v>
      </c>
      <c r="E49" s="1297" t="s">
        <v>984</v>
      </c>
      <c r="F49" s="1297"/>
      <c r="G49" s="224"/>
      <c r="H49" s="310" t="str">
        <f>IF(G49="","This Question must be answered before uploading, the report will not be processed if left blank","")</f>
        <v>This Question must be answered before uploading, the report will not be processed if left blank</v>
      </c>
      <c r="I49" s="225"/>
      <c r="J49" s="226"/>
    </row>
    <row r="50" spans="2:46" ht="6.75" customHeight="1" thickBot="1" x14ac:dyDescent="0.35">
      <c r="B50" s="210"/>
      <c r="C50" s="211"/>
      <c r="D50" s="255"/>
      <c r="E50" s="216"/>
      <c r="F50" s="216"/>
      <c r="G50" s="220"/>
      <c r="H50" s="225"/>
      <c r="I50" s="225"/>
      <c r="J50" s="226"/>
    </row>
    <row r="51" spans="2:46" ht="39.75" customHeight="1" thickBot="1" x14ac:dyDescent="0.35">
      <c r="B51" s="210"/>
      <c r="C51" s="211"/>
      <c r="D51" s="255">
        <v>957</v>
      </c>
      <c r="E51" s="1297" t="s">
        <v>985</v>
      </c>
      <c r="F51" s="1297"/>
      <c r="G51" s="224"/>
      <c r="H51" s="310" t="str">
        <f>IF(G51="","This Question must be answered before uploading, the report will not be processed if left blank","")</f>
        <v>This Question must be answered before uploading, the report will not be processed if left blank</v>
      </c>
      <c r="I51" s="225"/>
      <c r="J51" s="226"/>
    </row>
    <row r="52" spans="2:46" ht="9.75" customHeight="1" thickBot="1" x14ac:dyDescent="0.35">
      <c r="B52" s="210"/>
      <c r="C52" s="211"/>
      <c r="D52" s="256"/>
      <c r="E52" s="207"/>
      <c r="F52" s="207"/>
      <c r="G52" s="211"/>
      <c r="H52" s="211"/>
      <c r="I52" s="211"/>
      <c r="J52" s="212"/>
    </row>
    <row r="53" spans="2:46" ht="35.1" customHeight="1" thickBot="1" x14ac:dyDescent="0.35">
      <c r="B53" s="210"/>
      <c r="C53" s="211"/>
      <c r="D53" s="255">
        <v>959</v>
      </c>
      <c r="E53" s="1302" t="s">
        <v>1424</v>
      </c>
      <c r="F53" s="1302"/>
      <c r="G53" s="219"/>
      <c r="H53" s="310" t="str">
        <f>IF(G53="","This Question must be answered before uploading, the report will not be processed if left blank","")</f>
        <v>This Question must be answered before uploading, the report will not be processed if left blank</v>
      </c>
      <c r="I53" s="211"/>
      <c r="J53" s="212"/>
    </row>
    <row r="54" spans="2:46" ht="8.25" customHeight="1" thickBot="1" x14ac:dyDescent="0.35">
      <c r="B54" s="210"/>
      <c r="C54" s="211"/>
      <c r="D54" s="255"/>
      <c r="E54" s="389"/>
      <c r="F54" s="389"/>
      <c r="G54" s="211"/>
      <c r="H54" s="211"/>
      <c r="I54" s="211"/>
      <c r="J54" s="212"/>
    </row>
    <row r="55" spans="2:46" ht="67.5" customHeight="1" thickBot="1" x14ac:dyDescent="0.35">
      <c r="B55" s="210"/>
      <c r="C55" s="227"/>
      <c r="D55" s="255">
        <v>973</v>
      </c>
      <c r="E55" s="1302" t="s">
        <v>1509</v>
      </c>
      <c r="F55" s="1302"/>
      <c r="G55" s="396"/>
      <c r="H55" s="310" t="str">
        <f>IF(G55="","This Question must be answered before uploading, the report will not be processed if left blank","")</f>
        <v>This Question must be answered before uploading, the report will not be processed if left blank</v>
      </c>
      <c r="I55" s="282"/>
      <c r="J55" s="212"/>
    </row>
    <row r="56" spans="2:46" ht="7.5" customHeight="1" thickBot="1" x14ac:dyDescent="0.35">
      <c r="B56" s="210"/>
      <c r="C56" s="211"/>
      <c r="D56" s="255"/>
      <c r="E56" s="311"/>
      <c r="F56" s="311"/>
      <c r="G56" s="220"/>
      <c r="H56" s="211"/>
      <c r="I56" s="211"/>
      <c r="J56" s="212"/>
    </row>
    <row r="57" spans="2:46" ht="98.25" customHeight="1" thickBot="1" x14ac:dyDescent="0.35">
      <c r="B57" s="210"/>
      <c r="C57" s="211"/>
      <c r="D57" s="255">
        <v>974</v>
      </c>
      <c r="E57" s="1297" t="s">
        <v>1428</v>
      </c>
      <c r="F57" s="1298"/>
      <c r="G57" s="219"/>
      <c r="H57" s="309" t="str">
        <f>IF(G57="","This Question must be answered before uploading, the report will not be processed if left blank","")</f>
        <v>This Question must be answered before uploading, the report will not be processed if left blank</v>
      </c>
      <c r="I57" s="228"/>
      <c r="J57" s="212"/>
    </row>
    <row r="58" spans="2:46" ht="14.4" hidden="1" customHeight="1" x14ac:dyDescent="0.3">
      <c r="B58" s="210"/>
      <c r="C58" s="211"/>
      <c r="D58" s="255"/>
      <c r="E58" s="216"/>
      <c r="F58" s="216"/>
      <c r="G58" s="220"/>
      <c r="H58" s="211"/>
      <c r="I58" s="211"/>
      <c r="J58" s="212"/>
    </row>
    <row r="59" spans="2:46" ht="14.4" hidden="1" customHeight="1" thickBot="1" x14ac:dyDescent="0.35">
      <c r="B59" s="210"/>
      <c r="C59" s="211"/>
      <c r="D59" s="255"/>
      <c r="E59" s="216"/>
      <c r="F59" s="216"/>
      <c r="G59" s="220"/>
      <c r="H59" s="207"/>
      <c r="I59" s="211"/>
      <c r="J59" s="212"/>
    </row>
    <row r="60" spans="2:46" ht="25.95" hidden="1" customHeight="1" thickBot="1" x14ac:dyDescent="0.35">
      <c r="B60" s="210"/>
      <c r="C60" s="211"/>
      <c r="D60" s="255">
        <v>965</v>
      </c>
      <c r="E60" s="1297" t="s">
        <v>986</v>
      </c>
      <c r="F60" s="1297"/>
      <c r="G60" s="222"/>
      <c r="H60" s="310" t="str">
        <f>IF(G60="","This Question must be answered before uploading, the report will not be processed if left blank","")</f>
        <v>This Question must be answered before uploading, the report will not be processed if left blank</v>
      </c>
      <c r="I60" s="221"/>
      <c r="J60" s="212"/>
    </row>
    <row r="61" spans="2:46" ht="14.4" customHeight="1" thickBot="1" x14ac:dyDescent="0.35">
      <c r="B61" s="210"/>
      <c r="C61" s="211"/>
      <c r="D61" s="256"/>
      <c r="E61" s="207"/>
      <c r="F61" s="207"/>
      <c r="G61" s="220"/>
      <c r="H61" s="207"/>
      <c r="I61" s="221"/>
      <c r="J61" s="212"/>
    </row>
    <row r="62" spans="2:46" s="233" customFormat="1" ht="30.75" customHeight="1" thickBot="1" x14ac:dyDescent="0.35">
      <c r="B62" s="229"/>
      <c r="C62" s="230"/>
      <c r="D62" s="255" t="s">
        <v>1230</v>
      </c>
      <c r="E62" s="231" t="s">
        <v>987</v>
      </c>
      <c r="F62" s="232" t="str">
        <f>IF(G62="Yes", "Please Submit Management Letter","")</f>
        <v/>
      </c>
      <c r="G62" s="219"/>
      <c r="H62" s="310" t="str">
        <f>IF(G62="","This Question must be answered before uploading, the report will not be processed if left blank","")</f>
        <v>This Question must be answered before uploading, the report will not be processed if left blank</v>
      </c>
      <c r="I62" s="281"/>
      <c r="J62" s="212"/>
      <c r="K62"/>
      <c r="L62"/>
      <c r="M62"/>
      <c r="N62"/>
      <c r="O62"/>
      <c r="P62"/>
      <c r="Q62"/>
      <c r="R62"/>
      <c r="S62"/>
      <c r="T62"/>
      <c r="U62"/>
      <c r="V62"/>
      <c r="W62"/>
      <c r="X62"/>
      <c r="Y62"/>
      <c r="Z62"/>
      <c r="AA62"/>
      <c r="AB62"/>
      <c r="AC62"/>
      <c r="AD62"/>
      <c r="AE62"/>
      <c r="AF62"/>
      <c r="AG62"/>
      <c r="AH62"/>
      <c r="AI62"/>
      <c r="AJ62"/>
      <c r="AK62"/>
      <c r="AL62"/>
      <c r="AM62" s="1271"/>
      <c r="AN62" s="1271"/>
      <c r="AO62" s="223"/>
      <c r="AP62" s="223"/>
      <c r="AQ62" s="223"/>
      <c r="AR62" s="223"/>
      <c r="AS62" s="223"/>
      <c r="AT62" s="223"/>
    </row>
    <row r="63" spans="2:46" s="233" customFormat="1" ht="9.75" customHeight="1" thickBot="1" x14ac:dyDescent="0.35">
      <c r="B63" s="229"/>
      <c r="C63" s="230"/>
      <c r="D63" s="256"/>
      <c r="E63" s="234"/>
      <c r="F63" s="235"/>
      <c r="G63" s="220"/>
      <c r="H63" s="207"/>
      <c r="I63" s="221"/>
      <c r="J63" s="212"/>
      <c r="K63"/>
      <c r="L63"/>
      <c r="M63"/>
      <c r="N63"/>
      <c r="O63"/>
      <c r="P63"/>
      <c r="Q63"/>
      <c r="R63"/>
      <c r="S63"/>
      <c r="T63"/>
      <c r="U63"/>
      <c r="V63"/>
      <c r="W63"/>
      <c r="X63"/>
      <c r="Y63"/>
      <c r="Z63"/>
      <c r="AA63"/>
      <c r="AB63"/>
      <c r="AC63"/>
      <c r="AD63"/>
      <c r="AE63"/>
      <c r="AF63"/>
      <c r="AG63"/>
      <c r="AH63"/>
      <c r="AI63"/>
      <c r="AJ63"/>
      <c r="AK63"/>
      <c r="AL63"/>
      <c r="AM63" s="1271"/>
      <c r="AN63" s="1271"/>
      <c r="AO63" s="223"/>
      <c r="AP63" s="223"/>
      <c r="AQ63" s="223"/>
      <c r="AR63" s="223"/>
      <c r="AS63" s="223"/>
      <c r="AT63" s="223"/>
    </row>
    <row r="64" spans="2:46" s="233" customFormat="1" ht="31.5" customHeight="1" thickBot="1" x14ac:dyDescent="0.35">
      <c r="B64" s="229"/>
      <c r="C64" s="230"/>
      <c r="D64" s="255" t="s">
        <v>1231</v>
      </c>
      <c r="E64" s="231" t="s">
        <v>988</v>
      </c>
      <c r="F64" s="232" t="str">
        <f>IF(G64="Yes", "Please Submit AU-C 260 Letter","")</f>
        <v/>
      </c>
      <c r="G64" s="219"/>
      <c r="H64" s="310" t="str">
        <f>IF(G64="","This Question must be answered before uploading, the report will not be processed if left blank","")</f>
        <v>This Question must be answered before uploading, the report will not be processed if left blank</v>
      </c>
      <c r="I64" s="281"/>
      <c r="J64" s="212"/>
      <c r="K64"/>
      <c r="L64"/>
      <c r="M64"/>
      <c r="N64"/>
      <c r="O64"/>
      <c r="P64"/>
      <c r="Q64"/>
      <c r="R64"/>
      <c r="S64"/>
      <c r="T64"/>
      <c r="U64"/>
      <c r="V64"/>
      <c r="W64"/>
      <c r="X64"/>
      <c r="Y64"/>
      <c r="Z64"/>
      <c r="AA64"/>
      <c r="AB64"/>
      <c r="AC64"/>
      <c r="AD64"/>
      <c r="AE64"/>
      <c r="AF64"/>
      <c r="AG64"/>
      <c r="AH64"/>
      <c r="AI64"/>
      <c r="AJ64"/>
      <c r="AK64"/>
      <c r="AL64"/>
      <c r="AM64" s="1271"/>
      <c r="AN64" s="1271"/>
      <c r="AO64" s="223"/>
      <c r="AP64" s="223"/>
      <c r="AQ64" s="223"/>
      <c r="AR64" s="223"/>
      <c r="AS64" s="223"/>
      <c r="AT64" s="223"/>
    </row>
    <row r="65" spans="2:46" s="233" customFormat="1" ht="8.25" customHeight="1" thickBot="1" x14ac:dyDescent="0.35">
      <c r="B65" s="229"/>
      <c r="C65" s="230"/>
      <c r="D65" s="256"/>
      <c r="E65" s="236"/>
      <c r="F65" s="235"/>
      <c r="G65" s="220"/>
      <c r="H65" s="207"/>
      <c r="I65" s="221"/>
      <c r="J65" s="212"/>
      <c r="K65"/>
      <c r="L65"/>
      <c r="M65"/>
      <c r="N65"/>
      <c r="O65"/>
      <c r="P65"/>
      <c r="Q65"/>
      <c r="R65"/>
      <c r="S65"/>
      <c r="T65"/>
      <c r="U65"/>
      <c r="V65"/>
      <c r="W65"/>
      <c r="X65"/>
      <c r="Y65"/>
      <c r="Z65"/>
      <c r="AA65"/>
      <c r="AB65"/>
      <c r="AC65"/>
      <c r="AD65"/>
      <c r="AE65"/>
      <c r="AF65"/>
      <c r="AG65"/>
      <c r="AH65"/>
      <c r="AI65"/>
      <c r="AJ65"/>
      <c r="AK65"/>
      <c r="AL65"/>
      <c r="AM65" s="1271"/>
      <c r="AN65" s="1271"/>
      <c r="AO65" s="223"/>
      <c r="AP65" s="223"/>
      <c r="AQ65" s="223"/>
      <c r="AR65" s="223"/>
      <c r="AS65" s="223"/>
      <c r="AT65" s="223"/>
    </row>
    <row r="66" spans="2:46" s="233" customFormat="1" ht="33.75" customHeight="1" thickBot="1" x14ac:dyDescent="0.35">
      <c r="B66" s="229"/>
      <c r="C66" s="230"/>
      <c r="D66" s="255" t="s">
        <v>1232</v>
      </c>
      <c r="E66" s="231" t="s">
        <v>989</v>
      </c>
      <c r="F66" s="232" t="str">
        <f>IF(G66="Yes", "Please Submit AU-C 265 Letter","")</f>
        <v/>
      </c>
      <c r="G66" s="219"/>
      <c r="H66" s="310" t="str">
        <f>IF(G66="","This Question must be answered before uploading, the report will not be processed if left blank","")</f>
        <v>This Question must be answered before uploading, the report will not be processed if left blank</v>
      </c>
      <c r="I66" s="281"/>
      <c r="J66" s="212"/>
      <c r="K66"/>
      <c r="L66"/>
      <c r="M66"/>
      <c r="N66"/>
      <c r="O66"/>
      <c r="P66"/>
      <c r="Q66"/>
      <c r="R66"/>
      <c r="S66"/>
      <c r="T66"/>
      <c r="U66"/>
      <c r="V66"/>
      <c r="W66"/>
      <c r="X66"/>
      <c r="Y66"/>
      <c r="Z66"/>
      <c r="AA66"/>
      <c r="AB66"/>
      <c r="AC66"/>
      <c r="AD66"/>
      <c r="AE66"/>
      <c r="AF66"/>
      <c r="AG66"/>
      <c r="AH66"/>
      <c r="AI66"/>
      <c r="AJ66"/>
      <c r="AK66"/>
      <c r="AL66"/>
      <c r="AM66" s="1271"/>
      <c r="AN66" s="1271"/>
      <c r="AO66" s="223"/>
      <c r="AP66" s="223"/>
      <c r="AQ66" s="223"/>
      <c r="AR66" s="223"/>
      <c r="AS66" s="223"/>
      <c r="AT66" s="223"/>
    </row>
    <row r="67" spans="2:46" ht="6.75" customHeight="1" thickBot="1" x14ac:dyDescent="0.35">
      <c r="B67" s="210"/>
      <c r="C67" s="211"/>
      <c r="D67" s="256"/>
      <c r="E67" s="237"/>
      <c r="F67" s="237"/>
      <c r="G67" s="214"/>
      <c r="H67" s="207"/>
      <c r="I67" s="207"/>
      <c r="J67" s="212"/>
    </row>
    <row r="68" spans="2:46" s="233" customFormat="1" ht="35.25" customHeight="1" thickBot="1" x14ac:dyDescent="0.35">
      <c r="B68" s="229"/>
      <c r="C68" s="214"/>
      <c r="D68" s="399">
        <v>977</v>
      </c>
      <c r="E68" s="1299" t="s">
        <v>1409</v>
      </c>
      <c r="F68" s="1300"/>
      <c r="G68" s="397"/>
      <c r="H68" s="310" t="str">
        <f>IF(G68="","This Question must be answered before uploading, the report will not be processed if left blank","")</f>
        <v>This Question must be answered before uploading, the report will not be processed if left blank</v>
      </c>
      <c r="I68" s="221"/>
      <c r="J68" s="212"/>
      <c r="K68"/>
      <c r="L68"/>
      <c r="M68"/>
      <c r="N68"/>
      <c r="O68"/>
      <c r="P68"/>
      <c r="Q68"/>
      <c r="R68"/>
      <c r="S68"/>
      <c r="T68"/>
      <c r="U68"/>
      <c r="V68"/>
      <c r="W68"/>
      <c r="X68"/>
      <c r="Y68"/>
      <c r="Z68"/>
      <c r="AA68"/>
      <c r="AB68"/>
      <c r="AC68"/>
      <c r="AD68"/>
      <c r="AE68"/>
      <c r="AF68"/>
      <c r="AG68"/>
      <c r="AH68"/>
      <c r="AI68"/>
      <c r="AJ68"/>
      <c r="AK68"/>
      <c r="AL68"/>
      <c r="AM68" s="1271"/>
      <c r="AN68" s="1271"/>
      <c r="AO68" s="223"/>
      <c r="AP68" s="223"/>
      <c r="AQ68" s="223"/>
      <c r="AR68" s="223"/>
      <c r="AS68" s="223"/>
      <c r="AT68" s="223"/>
    </row>
    <row r="69" spans="2:46" s="233" customFormat="1" ht="8.25" customHeight="1" thickBot="1" x14ac:dyDescent="0.35">
      <c r="B69" s="229"/>
      <c r="C69" s="214"/>
      <c r="D69" s="255"/>
      <c r="E69" s="263"/>
      <c r="F69" s="264"/>
      <c r="G69" s="220"/>
      <c r="H69" s="207"/>
      <c r="I69" s="221"/>
      <c r="J69" s="212"/>
      <c r="K69"/>
      <c r="L69"/>
      <c r="M69"/>
      <c r="N69"/>
      <c r="O69"/>
      <c r="P69"/>
      <c r="Q69"/>
      <c r="R69"/>
      <c r="S69"/>
      <c r="T69"/>
      <c r="U69"/>
      <c r="V69"/>
      <c r="W69"/>
      <c r="X69"/>
      <c r="Y69"/>
      <c r="Z69"/>
      <c r="AA69"/>
      <c r="AB69"/>
      <c r="AC69"/>
      <c r="AD69"/>
      <c r="AE69"/>
      <c r="AF69"/>
      <c r="AG69"/>
      <c r="AH69"/>
      <c r="AI69"/>
      <c r="AJ69"/>
      <c r="AK69"/>
      <c r="AL69"/>
      <c r="AM69" s="1271"/>
      <c r="AN69" s="1271"/>
      <c r="AO69" s="223"/>
      <c r="AP69" s="223"/>
      <c r="AQ69" s="223"/>
      <c r="AR69" s="223"/>
      <c r="AS69" s="223"/>
      <c r="AT69" s="223"/>
    </row>
    <row r="70" spans="2:46" s="233" customFormat="1" ht="30" customHeight="1" thickBot="1" x14ac:dyDescent="0.35">
      <c r="B70" s="229"/>
      <c r="C70" s="214"/>
      <c r="D70" s="399">
        <v>978</v>
      </c>
      <c r="E70" s="1299" t="s">
        <v>1160</v>
      </c>
      <c r="F70" s="1300"/>
      <c r="G70" s="397"/>
      <c r="H70" s="310" t="str">
        <f>IF(G70="","This Question must be answered before uploading, the report will not be processed if left blank","")</f>
        <v>This Question must be answered before uploading, the report will not be processed if left blank</v>
      </c>
      <c r="I70" s="221"/>
      <c r="J70" s="212"/>
      <c r="K70"/>
      <c r="L70"/>
      <c r="M70"/>
      <c r="N70"/>
      <c r="O70"/>
      <c r="P70"/>
      <c r="Q70"/>
      <c r="R70"/>
      <c r="S70"/>
      <c r="T70"/>
      <c r="U70"/>
      <c r="V70"/>
      <c r="W70"/>
      <c r="X70"/>
      <c r="Y70"/>
      <c r="Z70"/>
      <c r="AA70"/>
      <c r="AB70"/>
      <c r="AC70"/>
      <c r="AD70"/>
      <c r="AE70"/>
      <c r="AF70"/>
      <c r="AG70"/>
      <c r="AH70"/>
      <c r="AI70"/>
      <c r="AJ70"/>
      <c r="AK70"/>
      <c r="AL70"/>
      <c r="AM70" s="1271"/>
      <c r="AN70" s="1271"/>
      <c r="AO70" s="223"/>
      <c r="AP70" s="223"/>
      <c r="AQ70" s="223"/>
      <c r="AR70" s="223"/>
      <c r="AS70" s="223"/>
      <c r="AT70" s="223"/>
    </row>
    <row r="71" spans="2:46" s="233" customFormat="1" ht="8.25" customHeight="1" thickBot="1" x14ac:dyDescent="0.35">
      <c r="B71" s="229"/>
      <c r="C71" s="214"/>
      <c r="D71" s="399"/>
      <c r="E71" s="263"/>
      <c r="F71" s="264"/>
      <c r="G71" s="220"/>
      <c r="H71" s="207"/>
      <c r="I71" s="221"/>
      <c r="J71" s="212"/>
      <c r="K71"/>
      <c r="L71"/>
      <c r="M71"/>
      <c r="N71"/>
      <c r="O71"/>
      <c r="P71"/>
      <c r="Q71"/>
      <c r="R71"/>
      <c r="S71"/>
      <c r="T71"/>
      <c r="U71"/>
      <c r="V71"/>
      <c r="W71"/>
      <c r="X71"/>
      <c r="Y71"/>
      <c r="Z71"/>
      <c r="AA71"/>
      <c r="AB71"/>
      <c r="AC71"/>
      <c r="AD71"/>
      <c r="AE71"/>
      <c r="AF71"/>
      <c r="AG71"/>
      <c r="AH71"/>
      <c r="AI71"/>
      <c r="AJ71"/>
      <c r="AK71"/>
      <c r="AL71"/>
      <c r="AM71" s="1271"/>
      <c r="AN71" s="1271"/>
      <c r="AO71" s="223"/>
      <c r="AP71" s="223"/>
      <c r="AQ71" s="223"/>
      <c r="AR71" s="223"/>
      <c r="AS71" s="223"/>
      <c r="AT71" s="223"/>
    </row>
    <row r="72" spans="2:46" s="233" customFormat="1" ht="36.75" customHeight="1" thickBot="1" x14ac:dyDescent="0.35">
      <c r="B72" s="229"/>
      <c r="C72" s="214"/>
      <c r="D72" s="399">
        <v>979</v>
      </c>
      <c r="E72" s="1299" t="s">
        <v>1161</v>
      </c>
      <c r="F72" s="1300"/>
      <c r="G72" s="397"/>
      <c r="H72" s="310" t="str">
        <f>IF(G72="","This Question must be answered before uploading, the report will not be processed if left blank","")</f>
        <v>This Question must be answered before uploading, the report will not be processed if left blank</v>
      </c>
      <c r="I72" s="221"/>
      <c r="J72" s="212"/>
      <c r="K72"/>
      <c r="L72"/>
      <c r="M72"/>
      <c r="N72"/>
      <c r="O72"/>
      <c r="P72"/>
      <c r="Q72"/>
      <c r="R72"/>
      <c r="S72"/>
      <c r="T72"/>
      <c r="U72"/>
      <c r="V72"/>
      <c r="W72"/>
      <c r="X72"/>
      <c r="Y72"/>
      <c r="Z72"/>
      <c r="AA72"/>
      <c r="AB72"/>
      <c r="AC72"/>
      <c r="AD72"/>
      <c r="AE72"/>
      <c r="AF72"/>
      <c r="AG72"/>
      <c r="AH72"/>
      <c r="AI72"/>
      <c r="AJ72"/>
      <c r="AK72"/>
      <c r="AL72"/>
      <c r="AM72" s="1271"/>
      <c r="AN72" s="1271"/>
      <c r="AO72" s="223"/>
      <c r="AP72" s="223"/>
      <c r="AQ72" s="223"/>
      <c r="AR72" s="223"/>
      <c r="AS72" s="223"/>
      <c r="AT72" s="223"/>
    </row>
    <row r="73" spans="2:46" ht="11.25" customHeight="1" thickBot="1" x14ac:dyDescent="0.35">
      <c r="B73" s="210"/>
      <c r="C73" s="227"/>
      <c r="D73" s="258"/>
      <c r="E73" s="1297"/>
      <c r="F73" s="1297"/>
      <c r="G73" s="276"/>
      <c r="H73" s="225"/>
      <c r="I73" s="211"/>
      <c r="J73" s="226"/>
    </row>
    <row r="74" spans="2:46" s="233" customFormat="1" ht="39" customHeight="1" thickBot="1" x14ac:dyDescent="0.35">
      <c r="B74" s="229"/>
      <c r="C74" s="214"/>
      <c r="D74" s="399">
        <v>980</v>
      </c>
      <c r="E74" s="1301" t="s">
        <v>1159</v>
      </c>
      <c r="F74" s="1301"/>
      <c r="G74" s="398"/>
      <c r="H74" s="310" t="str">
        <f>IF(G74="","This Question must be answered before uploading, the report will not be processed if left blank","")</f>
        <v>This Question must be answered before uploading, the report will not be processed if left blank</v>
      </c>
      <c r="I74" s="221"/>
      <c r="J74" s="212"/>
      <c r="K74"/>
      <c r="L74"/>
      <c r="M74"/>
      <c r="N74"/>
      <c r="O74"/>
      <c r="P74"/>
      <c r="Q74"/>
      <c r="R74"/>
      <c r="S74"/>
      <c r="T74"/>
      <c r="U74"/>
      <c r="V74"/>
      <c r="W74"/>
      <c r="X74"/>
      <c r="Y74"/>
      <c r="Z74"/>
      <c r="AA74"/>
      <c r="AB74"/>
      <c r="AC74"/>
      <c r="AD74"/>
      <c r="AE74"/>
      <c r="AF74"/>
      <c r="AG74"/>
      <c r="AH74"/>
      <c r="AI74"/>
      <c r="AJ74"/>
      <c r="AK74"/>
      <c r="AL74"/>
      <c r="AM74" s="1271"/>
      <c r="AN74" s="1271"/>
      <c r="AO74" s="223"/>
      <c r="AP74" s="223"/>
      <c r="AQ74" s="223"/>
      <c r="AR74" s="223"/>
      <c r="AS74" s="223"/>
      <c r="AT74" s="223"/>
    </row>
    <row r="75" spans="2:46" s="265" customFormat="1" ht="6.75" customHeight="1" thickBot="1" x14ac:dyDescent="0.35">
      <c r="B75" s="229"/>
      <c r="C75" s="214"/>
      <c r="D75" s="255"/>
      <c r="E75" s="263"/>
      <c r="F75" s="264"/>
      <c r="G75" s="220"/>
      <c r="H75" s="207"/>
      <c r="I75" s="221"/>
      <c r="J75" s="212"/>
      <c r="K75"/>
      <c r="L75"/>
      <c r="M75"/>
      <c r="N75"/>
      <c r="O75"/>
      <c r="P75"/>
      <c r="Q75"/>
      <c r="R75"/>
      <c r="S75"/>
      <c r="T75"/>
      <c r="U75"/>
      <c r="V75"/>
      <c r="W75"/>
      <c r="X75"/>
      <c r="Y75"/>
      <c r="Z75"/>
      <c r="AA75"/>
      <c r="AB75"/>
      <c r="AC75"/>
      <c r="AD75"/>
      <c r="AE75"/>
      <c r="AF75"/>
      <c r="AG75"/>
      <c r="AH75"/>
      <c r="AI75"/>
      <c r="AJ75"/>
      <c r="AK75"/>
      <c r="AL75"/>
      <c r="AM75" s="1272"/>
      <c r="AN75" s="1272"/>
      <c r="AO75" s="266"/>
      <c r="AP75" s="266"/>
      <c r="AQ75" s="266"/>
      <c r="AR75" s="266"/>
      <c r="AS75" s="266"/>
      <c r="AT75" s="266"/>
    </row>
    <row r="76" spans="2:46" ht="32.25" customHeight="1" thickBot="1" x14ac:dyDescent="0.35">
      <c r="B76" s="210"/>
      <c r="C76" s="227"/>
      <c r="D76" s="255">
        <v>975</v>
      </c>
      <c r="E76" s="1297" t="s">
        <v>1162</v>
      </c>
      <c r="F76" s="1298"/>
      <c r="G76" s="219"/>
      <c r="H76" s="309" t="str">
        <f>IF(G76="","This Question must be answered before uploading, the report will not be processed if left blank","")</f>
        <v>This Question must be answered before uploading, the report will not be processed if left blank</v>
      </c>
      <c r="I76" s="225"/>
      <c r="J76" s="226"/>
    </row>
    <row r="77" spans="2:46" ht="6.75" customHeight="1" thickBot="1" x14ac:dyDescent="0.35">
      <c r="B77" s="210"/>
      <c r="C77" s="227"/>
      <c r="D77" s="258"/>
      <c r="E77" s="207"/>
      <c r="F77" s="207"/>
      <c r="G77" s="254"/>
      <c r="H77" s="211"/>
      <c r="I77" s="211"/>
      <c r="J77" s="212"/>
    </row>
    <row r="78" spans="2:46" ht="61.5" customHeight="1" thickBot="1" x14ac:dyDescent="0.35">
      <c r="B78" s="210"/>
      <c r="C78" s="227"/>
      <c r="D78" s="255">
        <v>976</v>
      </c>
      <c r="E78" s="1297" t="s">
        <v>1378</v>
      </c>
      <c r="F78" s="1298"/>
      <c r="G78" s="219"/>
      <c r="H78" s="309" t="str">
        <f>IF(G78="","This Question must be answered before uploading, the report will not be processed if left blank","")</f>
        <v>This Question must be answered before uploading, the report will not be processed if left blank</v>
      </c>
      <c r="I78" s="225"/>
      <c r="J78" s="226"/>
    </row>
    <row r="79" spans="2:46" ht="39" customHeight="1" thickBot="1" x14ac:dyDescent="0.35">
      <c r="B79" s="198"/>
      <c r="C79" s="199"/>
      <c r="D79" s="200"/>
      <c r="E79" s="201"/>
      <c r="F79" s="202"/>
      <c r="G79" s="275"/>
      <c r="H79" s="202"/>
      <c r="I79" s="202"/>
      <c r="J79" s="203"/>
    </row>
    <row r="80" spans="2:46" ht="10.5" customHeight="1" thickBot="1" x14ac:dyDescent="0.35">
      <c r="B80" s="210"/>
      <c r="C80" s="211"/>
      <c r="D80" s="256"/>
      <c r="E80" s="207"/>
      <c r="F80" s="207"/>
      <c r="G80" s="214"/>
      <c r="H80" s="211"/>
      <c r="I80" s="211"/>
      <c r="J80" s="212"/>
    </row>
    <row r="81" spans="1:10" ht="45" customHeight="1" thickBot="1" x14ac:dyDescent="0.35">
      <c r="B81" s="210"/>
      <c r="C81" s="211"/>
      <c r="D81" s="256" t="s">
        <v>1233</v>
      </c>
      <c r="E81" s="1273" t="str">
        <f>IF(G81="","This Question must be answered before uploading, the report will not be processed if left blank","")</f>
        <v>This Question must be answered before uploading, the report will not be processed if left blank</v>
      </c>
      <c r="F81" s="1268" t="s">
        <v>990</v>
      </c>
      <c r="G81" s="1291"/>
      <c r="H81" s="1292"/>
      <c r="I81" s="1293"/>
      <c r="J81" s="212"/>
    </row>
    <row r="82" spans="1:10" ht="6.75" customHeight="1" thickBot="1" x14ac:dyDescent="0.35">
      <c r="B82" s="210"/>
      <c r="C82" s="211"/>
      <c r="D82" s="256"/>
      <c r="E82" s="237"/>
      <c r="F82" s="237"/>
      <c r="G82" s="214"/>
      <c r="H82" s="214"/>
      <c r="I82" s="214"/>
      <c r="J82" s="212"/>
    </row>
    <row r="83" spans="1:10" ht="35.4" customHeight="1" thickBot="1" x14ac:dyDescent="0.35">
      <c r="B83" s="210"/>
      <c r="C83" s="211"/>
      <c r="D83" s="256" t="s">
        <v>1234</v>
      </c>
      <c r="E83" s="1273" t="str">
        <f>IF(G83="","This Question must be answered before uploading, the report will not be processed if left blank","")</f>
        <v>This Question must be answered before uploading, the report will not be processed if left blank</v>
      </c>
      <c r="F83" s="1268" t="s">
        <v>991</v>
      </c>
      <c r="G83" s="1291"/>
      <c r="H83" s="1292"/>
      <c r="I83" s="1293"/>
      <c r="J83" s="212"/>
    </row>
    <row r="84" spans="1:10" ht="6.75" customHeight="1" thickBot="1" x14ac:dyDescent="0.35">
      <c r="B84" s="210"/>
      <c r="C84" s="211"/>
      <c r="D84" s="256"/>
      <c r="E84" s="237"/>
      <c r="F84" s="237"/>
      <c r="G84" s="238"/>
      <c r="H84" s="214"/>
      <c r="I84" s="214"/>
      <c r="J84" s="212"/>
    </row>
    <row r="85" spans="1:10" ht="38.4" customHeight="1" thickBot="1" x14ac:dyDescent="0.35">
      <c r="B85" s="210"/>
      <c r="C85" s="211"/>
      <c r="D85" s="256" t="s">
        <v>1825</v>
      </c>
      <c r="E85" s="1273" t="str">
        <f>IF(G85="","This Question must be answered before uploading, the report will not be processed if left blank","")</f>
        <v>This Question must be answered before uploading, the report will not be processed if left blank</v>
      </c>
      <c r="F85" s="1268" t="s">
        <v>1433</v>
      </c>
      <c r="G85" s="215"/>
      <c r="H85" s="214"/>
      <c r="I85" s="214"/>
      <c r="J85" s="212"/>
    </row>
    <row r="86" spans="1:10" ht="6.75" customHeight="1" x14ac:dyDescent="0.3">
      <c r="B86" s="210"/>
      <c r="C86" s="211"/>
      <c r="D86" s="256"/>
      <c r="E86" s="237"/>
      <c r="F86" s="237"/>
      <c r="G86" s="214"/>
      <c r="H86" s="214"/>
      <c r="I86" s="214"/>
      <c r="J86" s="212"/>
    </row>
    <row r="87" spans="1:10" ht="30" hidden="1" customHeight="1" x14ac:dyDescent="0.3">
      <c r="B87" s="210"/>
      <c r="C87" s="211"/>
      <c r="D87" s="256"/>
      <c r="E87" s="1294"/>
      <c r="F87" s="1294"/>
      <c r="G87" s="239" t="str">
        <f>CONCATENATE(G10," 2021 TD.xlsx")</f>
        <v xml:space="preserve"> 2021 TD.xlsx</v>
      </c>
      <c r="H87" s="239"/>
      <c r="I87" s="240"/>
      <c r="J87" s="212"/>
    </row>
    <row r="88" spans="1:10" ht="14.4" customHeight="1" x14ac:dyDescent="0.3">
      <c r="B88" s="210"/>
      <c r="C88" s="211"/>
      <c r="D88" s="1295"/>
      <c r="E88" s="1295"/>
      <c r="F88" s="1295"/>
      <c r="G88" s="1296" t="str">
        <f>IF(G11="","","Please review the Transmittal Instructions and your answer to Question 1")</f>
        <v/>
      </c>
      <c r="H88" s="1296"/>
      <c r="I88" s="1296"/>
      <c r="J88" s="212"/>
    </row>
    <row r="89" spans="1:10" ht="18" customHeight="1" x14ac:dyDescent="0.3">
      <c r="B89" s="210"/>
      <c r="C89" s="211"/>
      <c r="D89" s="1295"/>
      <c r="E89" s="1295"/>
      <c r="F89" s="1295"/>
      <c r="G89" s="1296" t="str">
        <f>IF(G88="Currently the file name is incorrect, please correct before uploading",CONCATENATE("File current name is ",O89),"")</f>
        <v/>
      </c>
      <c r="H89" s="1296"/>
      <c r="I89" s="241"/>
      <c r="J89" s="242"/>
    </row>
    <row r="90" spans="1:10" ht="6.75" customHeight="1" thickBot="1" x14ac:dyDescent="0.35">
      <c r="B90" s="243"/>
      <c r="C90" s="244"/>
      <c r="D90" s="259"/>
      <c r="E90" s="245"/>
      <c r="F90" s="245"/>
      <c r="G90" s="246"/>
      <c r="H90" s="246"/>
      <c r="I90" s="246"/>
      <c r="J90" s="247"/>
    </row>
    <row r="93" spans="1:10" x14ac:dyDescent="0.3">
      <c r="B93" s="193" t="s">
        <v>992</v>
      </c>
      <c r="D93" s="197"/>
      <c r="E93" s="249">
        <v>1.01</v>
      </c>
      <c r="F93" s="250"/>
    </row>
    <row r="94" spans="1:10" x14ac:dyDescent="0.3">
      <c r="A94" s="197"/>
      <c r="B94" s="193" t="s">
        <v>993</v>
      </c>
      <c r="D94" s="197"/>
      <c r="E94" s="251">
        <v>44427</v>
      </c>
      <c r="F94" s="252"/>
    </row>
    <row r="95" spans="1:10" x14ac:dyDescent="0.3">
      <c r="E95" s="250"/>
      <c r="F95" s="250"/>
    </row>
    <row r="96" spans="1:10" x14ac:dyDescent="0.3">
      <c r="E96" s="248">
        <f>SUBTOTAL(109,D3:D89)</f>
        <v>14400</v>
      </c>
    </row>
  </sheetData>
  <sheetProtection algorithmName="SHA-512" hashValue="jIISkQsiGG0bm4dsfFxZ60xTU/M7m24KM40W3eRk54izIBq8a8iIT5AiNH3WcsbjPa5c91We2dfSQV47f44d9w==" saltValue="aRFM9bAjMjCCxdJE2icJ3g==" spinCount="100000" sheet="1" selectLockedCells="1"/>
  <mergeCells count="56">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 ref="G32:I32"/>
    <mergeCell ref="E22:F22"/>
    <mergeCell ref="G22:I22"/>
    <mergeCell ref="E24:F24"/>
    <mergeCell ref="G24:I24"/>
    <mergeCell ref="E26:F26"/>
    <mergeCell ref="G26:H26"/>
    <mergeCell ref="E27:H27"/>
    <mergeCell ref="E28:F28"/>
    <mergeCell ref="H28:I28"/>
    <mergeCell ref="E30:F30"/>
    <mergeCell ref="H30:I30"/>
    <mergeCell ref="E32:F32"/>
    <mergeCell ref="E55:F55"/>
    <mergeCell ref="G34:I34"/>
    <mergeCell ref="E36:F36"/>
    <mergeCell ref="G36:I36"/>
    <mergeCell ref="E37:H37"/>
    <mergeCell ref="B38:J38"/>
    <mergeCell ref="E41:F41"/>
    <mergeCell ref="E43:F43"/>
    <mergeCell ref="E45:F45"/>
    <mergeCell ref="E47:F47"/>
    <mergeCell ref="E49:F49"/>
    <mergeCell ref="E51:F51"/>
    <mergeCell ref="E53:F53"/>
    <mergeCell ref="G81:I81"/>
    <mergeCell ref="E76:F76"/>
    <mergeCell ref="E78:F78"/>
    <mergeCell ref="E57:F57"/>
    <mergeCell ref="E60:F60"/>
    <mergeCell ref="E68:F68"/>
    <mergeCell ref="E70:F70"/>
    <mergeCell ref="E72:F72"/>
    <mergeCell ref="E73:F73"/>
    <mergeCell ref="E74:F74"/>
    <mergeCell ref="G83:I83"/>
    <mergeCell ref="E87:F87"/>
    <mergeCell ref="D88:F89"/>
    <mergeCell ref="G88:I88"/>
    <mergeCell ref="G89:H89"/>
  </mergeCells>
  <conditionalFormatting sqref="G10 G41 G43 G45 G47 G49 G57 G66 G60 G51 G78 G76">
    <cfRule type="expression" dxfId="121"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20" priority="41">
      <formula>$T26</formula>
    </cfRule>
  </conditionalFormatting>
  <conditionalFormatting sqref="G41 G43 G45 G47 G49 G57 G60 G62 G64 G66 G30 G32 G51:G55 G76:G78">
    <cfRule type="expression" dxfId="119" priority="40">
      <formula>$G$26="Housing Authority"</formula>
    </cfRule>
  </conditionalFormatting>
  <conditionalFormatting sqref="G14">
    <cfRule type="expression" dxfId="118" priority="39">
      <formula>$T14</formula>
    </cfRule>
  </conditionalFormatting>
  <conditionalFormatting sqref="G12">
    <cfRule type="expression" dxfId="117" priority="38">
      <formula>$T12</formula>
    </cfRule>
  </conditionalFormatting>
  <conditionalFormatting sqref="G85">
    <cfRule type="expression" dxfId="116" priority="37">
      <formula>$T85</formula>
    </cfRule>
  </conditionalFormatting>
  <conditionalFormatting sqref="G81">
    <cfRule type="expression" dxfId="115"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14"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113"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112" priority="25">
      <formula>$G$26="Housing Authority"</formula>
    </cfRule>
  </conditionalFormatting>
  <conditionalFormatting sqref="G64">
    <cfRule type="expression" dxfId="111" priority="30">
      <formula>$T64</formula>
    </cfRule>
  </conditionalFormatting>
  <conditionalFormatting sqref="G64">
    <cfRule type="expression" dxfId="110" priority="29">
      <formula>$G$26="Housing Authority"</formula>
    </cfRule>
  </conditionalFormatting>
  <conditionalFormatting sqref="G66">
    <cfRule type="expression" dxfId="109" priority="28">
      <formula>$G$26="Housing Authority"</formula>
    </cfRule>
  </conditionalFormatting>
  <conditionalFormatting sqref="G62">
    <cfRule type="expression" dxfId="108" priority="27">
      <formula>$T62</formula>
    </cfRule>
  </conditionalFormatting>
  <conditionalFormatting sqref="G62">
    <cfRule type="expression" dxfId="107" priority="26">
      <formula>$G$26="Housing Authority"</formula>
    </cfRule>
  </conditionalFormatting>
  <conditionalFormatting sqref="G31">
    <cfRule type="expression" dxfId="106" priority="24">
      <formula>$T31</formula>
    </cfRule>
  </conditionalFormatting>
  <conditionalFormatting sqref="G28">
    <cfRule type="expression" dxfId="105" priority="23">
      <formula>$T28</formula>
    </cfRule>
  </conditionalFormatting>
  <conditionalFormatting sqref="G28">
    <cfRule type="expression" dxfId="104" priority="22">
      <formula>$G$26="Housing Authority"</formula>
    </cfRule>
  </conditionalFormatting>
  <conditionalFormatting sqref="G30">
    <cfRule type="expression" dxfId="103" priority="21">
      <formula>$T30</formula>
    </cfRule>
  </conditionalFormatting>
  <conditionalFormatting sqref="G16">
    <cfRule type="expression" dxfId="102"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101"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100"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99" priority="12">
      <formula>$G$26="Housing Authority"</formula>
    </cfRule>
  </conditionalFormatting>
  <conditionalFormatting sqref="G32">
    <cfRule type="expression" dxfId="98" priority="13">
      <formula>$P$32</formula>
    </cfRule>
    <cfRule type="expression" dxfId="97" priority="20">
      <formula>$T32</formula>
    </cfRule>
  </conditionalFormatting>
  <conditionalFormatting sqref="G36">
    <cfRule type="expression" dxfId="96" priority="9">
      <formula>$G$26="Housing Authority"</formula>
    </cfRule>
  </conditionalFormatting>
  <conditionalFormatting sqref="G36">
    <cfRule type="expression" dxfId="95" priority="10">
      <formula>$P$32</formula>
    </cfRule>
    <cfRule type="expression" dxfId="94" priority="11">
      <formula>$T36</formula>
    </cfRule>
  </conditionalFormatting>
  <conditionalFormatting sqref="G34">
    <cfRule type="expression" dxfId="93" priority="6">
      <formula>$G$26="Housing Authority"</formula>
    </cfRule>
  </conditionalFormatting>
  <conditionalFormatting sqref="G34">
    <cfRule type="expression" dxfId="92" priority="7">
      <formula>$P$32</formula>
    </cfRule>
    <cfRule type="expression" dxfId="91" priority="8">
      <formula>$T34</formula>
    </cfRule>
  </conditionalFormatting>
  <conditionalFormatting sqref="G24">
    <cfRule type="expression" dxfId="90"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89" priority="3">
      <formula>$T53</formula>
    </cfRule>
  </conditionalFormatting>
  <conditionalFormatting sqref="G73">
    <cfRule type="expression" dxfId="88" priority="2">
      <formula>$T73</formula>
    </cfRule>
  </conditionalFormatting>
  <conditionalFormatting sqref="G73">
    <cfRule type="expression" dxfId="87" priority="1">
      <formula>$G$26="Housing Authority"</formula>
    </cfRule>
  </conditionalFormatting>
  <dataValidations xWindow="873" yWindow="799" count="27">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5 G73"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5 G73"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77 G54:G55"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5:H80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xr:uid="{FA296981-A236-46B7-9FFE-5DC3167CFD46}">
      <formula1>44377</formula1>
    </dataValidation>
    <dataValidation type="date" operator="greaterThan" allowBlank="1" showInputMessage="1" showErrorMessage="1" prompt="MM/DD/YYYY" sqref="G74:G75"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3 G76:G78"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G78" xr:uid="{C44059AB-BB8C-4610-9AA3-4BC5E2373D77}">
      <formula1>"6/30/2020"</formula1>
    </dataValidation>
    <dataValidation type="list" showInputMessage="1" showErrorMessage="1" sqref="G76:G78" xr:uid="{540B186B-35A9-4EE0-B17E-915973DA074C}">
      <formula1>"Yes,No"</formula1>
    </dataValidation>
    <dataValidation type="list" operator="greaterThan" showInputMessage="1" showErrorMessage="1" promptTitle="MM/DD/YYYY" prompt="This cannot be blank" sqref="G76:G78" xr:uid="{50FFDB9F-81FA-4C49-9522-D3B93AEFD0CD}">
      <formula1>"6/30/2021"</formula1>
    </dataValidation>
    <dataValidation type="list" allowBlank="1" showInputMessage="1" showErrorMessage="1" sqref="G76:G78" xr:uid="{329842D7-E99F-4C65-95C5-0D88D630A1E9}">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91" customWidth="1"/>
    <col min="4" max="4" width="20.88671875" style="3" bestFit="1" customWidth="1"/>
    <col min="5" max="5" width="17.5546875" style="3" customWidth="1"/>
    <col min="6" max="6" width="22.6640625" style="3" customWidth="1"/>
    <col min="7" max="7" width="17.44140625" style="588" bestFit="1" customWidth="1"/>
    <col min="8" max="8" width="9.6640625" style="3" bestFit="1" customWidth="1"/>
    <col min="9" max="9" width="1" style="622" customWidth="1"/>
    <col min="10" max="10" width="18.109375" style="5" customWidth="1"/>
    <col min="11" max="11" width="36.88671875" style="9" customWidth="1"/>
    <col min="12" max="12" width="15.44140625" style="699" bestFit="1" customWidth="1"/>
    <col min="13" max="13" width="1.44140625" style="3" customWidth="1"/>
    <col min="14" max="14" width="18.109375" style="3" customWidth="1"/>
    <col min="15" max="15" width="17.88671875" style="3" customWidth="1"/>
    <col min="16" max="16" width="8.6640625" style="306"/>
    <col min="17" max="17" width="10.33203125" style="591"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815</v>
      </c>
      <c r="D1" s="13">
        <f>L65-(L52+L53-L57-L58-L233)-L61</f>
        <v>0</v>
      </c>
      <c r="I1" s="589"/>
      <c r="J1" s="48"/>
      <c r="K1" s="14" t="s">
        <v>47</v>
      </c>
      <c r="L1" s="63"/>
      <c r="M1" s="590"/>
      <c r="S1" s="3">
        <v>100</v>
      </c>
      <c r="T1" s="3">
        <v>1</v>
      </c>
    </row>
    <row r="2" spans="1:25" ht="36" x14ac:dyDescent="0.4">
      <c r="C2" s="74" t="str">
        <f>'Unit Data from Audit Worksheet'!D2</f>
        <v>Select Unit Name from Drop Down List</v>
      </c>
      <c r="D2" s="144">
        <v>2021</v>
      </c>
      <c r="E2" s="12">
        <v>2021</v>
      </c>
      <c r="F2" s="12"/>
      <c r="G2" s="70"/>
      <c r="H2" s="12"/>
      <c r="I2" s="589"/>
      <c r="J2" s="43" t="s">
        <v>43</v>
      </c>
      <c r="K2" s="8" t="s">
        <v>42</v>
      </c>
      <c r="L2" s="68" t="s">
        <v>30</v>
      </c>
      <c r="S2" s="3">
        <v>200</v>
      </c>
      <c r="T2" s="3">
        <v>2</v>
      </c>
    </row>
    <row r="3" spans="1:25" ht="31.2" x14ac:dyDescent="0.3">
      <c r="A3" s="592" t="s">
        <v>43</v>
      </c>
      <c r="B3" s="593"/>
      <c r="C3" s="46" t="s">
        <v>1</v>
      </c>
      <c r="D3" s="15" t="s">
        <v>44</v>
      </c>
      <c r="E3" s="15" t="s">
        <v>45</v>
      </c>
      <c r="F3" s="16" t="s">
        <v>49</v>
      </c>
      <c r="G3" s="75" t="s">
        <v>557</v>
      </c>
      <c r="H3" s="16" t="s">
        <v>698</v>
      </c>
      <c r="I3" s="589"/>
      <c r="J3" s="594"/>
      <c r="K3" s="145"/>
      <c r="L3" s="595"/>
      <c r="O3" s="3" t="s">
        <v>296</v>
      </c>
      <c r="Q3" s="86" t="s">
        <v>558</v>
      </c>
      <c r="S3" s="3">
        <v>300</v>
      </c>
      <c r="T3" s="3">
        <v>3</v>
      </c>
    </row>
    <row r="4" spans="1:25" ht="18" x14ac:dyDescent="0.35">
      <c r="A4" s="596"/>
      <c r="B4" s="597"/>
      <c r="C4" s="50"/>
      <c r="D4" s="7"/>
      <c r="E4" s="7"/>
      <c r="F4" s="7"/>
      <c r="G4" s="71"/>
      <c r="H4" s="7"/>
      <c r="I4" s="589"/>
      <c r="J4" s="45">
        <v>999</v>
      </c>
      <c r="K4" s="11" t="s">
        <v>293</v>
      </c>
      <c r="L4" s="133" t="e">
        <f>'Unit Data from Audit Worksheet'!D3</f>
        <v>#N/A</v>
      </c>
      <c r="S4" s="3">
        <v>400</v>
      </c>
      <c r="T4" s="3">
        <v>4</v>
      </c>
      <c r="W4" s="3" t="b">
        <f t="shared" ref="W4:W35" si="0">EXACT(A4,J4)</f>
        <v>0</v>
      </c>
      <c r="X4" s="598" t="e">
        <f>E4-L4</f>
        <v>#N/A</v>
      </c>
      <c r="Y4" s="598" t="e">
        <f>D4-L4</f>
        <v>#N/A</v>
      </c>
    </row>
    <row r="5" spans="1:25" ht="57" customHeight="1" x14ac:dyDescent="0.3">
      <c r="A5" s="599">
        <f>'Unit Data from Audit Worksheet'!A7</f>
        <v>333</v>
      </c>
      <c r="B5" s="54" t="str">
        <f>'Unit Data from Audit Worksheet'!C7</f>
        <v>Net Position-Governmental Activities</v>
      </c>
      <c r="C5" s="600" t="str">
        <f>'Unit Data from Audit Worksheet'!D7</f>
        <v xml:space="preserve"> All unrestricted Cash and investments.  
Exclude: restricted cash 
                   cash held by a third party. </v>
      </c>
      <c r="D5" s="143"/>
      <c r="E5" s="151">
        <f>'Unit Data from Audit Worksheet'!F7</f>
        <v>0</v>
      </c>
      <c r="F5" s="355">
        <f>IF(L5&lt;0,"Error: Number is normally positive.",)</f>
        <v>0</v>
      </c>
      <c r="G5" s="72"/>
      <c r="H5" s="354">
        <f>'Unit Data from Audit Worksheet'!I7</f>
        <v>0</v>
      </c>
      <c r="I5" s="38"/>
      <c r="J5" s="42">
        <v>333</v>
      </c>
      <c r="K5" s="51" t="s">
        <v>184</v>
      </c>
      <c r="L5" s="601">
        <f>IF(D5="",E5,D5)</f>
        <v>0</v>
      </c>
      <c r="P5" s="323"/>
      <c r="S5" s="3">
        <v>500</v>
      </c>
      <c r="T5" s="3">
        <v>5</v>
      </c>
      <c r="W5" s="3" t="b">
        <f t="shared" si="0"/>
        <v>1</v>
      </c>
      <c r="X5" s="598">
        <f t="shared" ref="X5:X116" si="1">E5-L5</f>
        <v>0</v>
      </c>
      <c r="Y5" s="598">
        <f t="shared" ref="Y5:Y116" si="2">D5-L5</f>
        <v>0</v>
      </c>
    </row>
    <row r="6" spans="1:25" ht="39.75" customHeight="1" x14ac:dyDescent="0.3">
      <c r="A6" s="342">
        <f>'Unit Data from Audit Worksheet'!A8</f>
        <v>500</v>
      </c>
      <c r="B6" s="356" t="str">
        <f>'Unit Data from Audit Worksheet'!C8</f>
        <v>Net Position-Governmental Activities</v>
      </c>
      <c r="C6" s="341" t="str">
        <f>'Unit Data from Audit Worksheet'!D8</f>
        <v xml:space="preserve"> All restricted Cash and investments</v>
      </c>
      <c r="D6" s="143"/>
      <c r="E6" s="362">
        <f>'Unit Data from Audit Worksheet'!F8</f>
        <v>0</v>
      </c>
      <c r="F6" s="355">
        <f>IF(L6&lt;0,"Error: Number is normally positive.",)</f>
        <v>0</v>
      </c>
      <c r="G6" s="357"/>
      <c r="H6" s="354">
        <f>'Unit Data from Audit Worksheet'!I8</f>
        <v>0</v>
      </c>
      <c r="I6" s="38"/>
      <c r="J6" s="353">
        <v>500</v>
      </c>
      <c r="K6" s="352" t="s">
        <v>183</v>
      </c>
      <c r="L6" s="601">
        <f>IF(D6="",E6,D6)</f>
        <v>0</v>
      </c>
      <c r="P6" s="324"/>
      <c r="T6" s="3">
        <v>6</v>
      </c>
      <c r="W6" s="3" t="b">
        <f t="shared" si="0"/>
        <v>1</v>
      </c>
      <c r="X6" s="598">
        <f t="shared" si="1"/>
        <v>0</v>
      </c>
      <c r="Y6" s="598">
        <f t="shared" si="2"/>
        <v>0</v>
      </c>
    </row>
    <row r="7" spans="1:25" ht="43.5" customHeight="1" x14ac:dyDescent="0.3">
      <c r="A7" s="342">
        <f>'Unit Data from Audit Worksheet'!A9</f>
        <v>385</v>
      </c>
      <c r="B7" s="356" t="str">
        <f>'Unit Data from Audit Worksheet'!C9</f>
        <v>Net Position-Governmental Activities</v>
      </c>
      <c r="C7" s="341" t="str">
        <f>'Unit Data from Audit Worksheet'!D9</f>
        <v>Total Assets and deferred outflows</v>
      </c>
      <c r="D7" s="143"/>
      <c r="E7" s="362">
        <f>'Unit Data from Audit Worksheet'!F9</f>
        <v>0</v>
      </c>
      <c r="F7" s="134">
        <f>IF((L5+L6)&gt;L7,"Error: Please review accts (333 + 500) &gt; 385",)</f>
        <v>0</v>
      </c>
      <c r="G7" s="357" t="str">
        <f>IF(Q7=1," Included in error count"," ")</f>
        <v xml:space="preserve"> </v>
      </c>
      <c r="H7" s="354">
        <f>'Unit Data from Audit Worksheet'!I9</f>
        <v>0</v>
      </c>
      <c r="I7" s="38"/>
      <c r="J7" s="76">
        <v>385</v>
      </c>
      <c r="K7" s="77" t="s">
        <v>115</v>
      </c>
      <c r="L7" s="602">
        <f>IF(D7="",E7,D7)+IF(D9="",E9,D9)</f>
        <v>0</v>
      </c>
      <c r="N7" s="78" t="s">
        <v>544</v>
      </c>
      <c r="P7" s="324"/>
      <c r="T7" s="3">
        <v>7</v>
      </c>
      <c r="W7" s="3" t="b">
        <f t="shared" si="0"/>
        <v>1</v>
      </c>
      <c r="X7" s="598">
        <f t="shared" si="1"/>
        <v>0</v>
      </c>
      <c r="Y7" s="598">
        <f t="shared" si="2"/>
        <v>0</v>
      </c>
    </row>
    <row r="8" spans="1:25" ht="90.75" customHeight="1" x14ac:dyDescent="0.3">
      <c r="A8" s="342">
        <f>'Unit Data from Audit Worksheet'!A10</f>
        <v>575</v>
      </c>
      <c r="B8" s="356" t="str">
        <f>'Unit Data from Audit Worksheet'!C10</f>
        <v>Net Position-Governmental Activities</v>
      </c>
      <c r="C8" s="341" t="str">
        <f>'Unit Data from Audit Worksheet'!D10</f>
        <v>Record any positive Internal balances on the net position statements that appear in the Asset Section of the Net Position Statement</v>
      </c>
      <c r="D8" s="143"/>
      <c r="E8" s="362">
        <f>'Unit Data from Audit Worksheet'!F10</f>
        <v>0</v>
      </c>
      <c r="F8" s="355">
        <f>IF(L8&lt;0,"Error: Number is normally positive.",)</f>
        <v>0</v>
      </c>
      <c r="G8" s="357"/>
      <c r="H8" s="354">
        <f>'Unit Data from Audit Worksheet'!I10</f>
        <v>0</v>
      </c>
      <c r="I8" s="38"/>
      <c r="J8" s="353">
        <v>575</v>
      </c>
      <c r="K8" s="359" t="s">
        <v>547</v>
      </c>
      <c r="L8" s="601">
        <f>IF(D8="",E8,D8)</f>
        <v>0</v>
      </c>
      <c r="N8" s="64"/>
      <c r="P8" s="324"/>
      <c r="W8" s="3" t="b">
        <f t="shared" si="0"/>
        <v>1</v>
      </c>
      <c r="X8" s="598">
        <f t="shared" si="1"/>
        <v>0</v>
      </c>
      <c r="Y8" s="598">
        <f t="shared" si="2"/>
        <v>0</v>
      </c>
    </row>
    <row r="9" spans="1:25" ht="103.5" customHeight="1" x14ac:dyDescent="0.3">
      <c r="A9" s="342">
        <f>'Unit Data from Audit Worksheet'!A11</f>
        <v>576</v>
      </c>
      <c r="B9" s="356" t="str">
        <f>'Unit Data from Audit Worksheet'!C11</f>
        <v>Net Position-Governmental Activities</v>
      </c>
      <c r="C9" s="603" t="str">
        <f>'Unit Data from Audit Worksheet'!D11</f>
        <v>Record any negative Internal balances on the net position statements that appear in the Asset Section of the Net Position Statement.
Enter as a positive</v>
      </c>
      <c r="D9" s="109"/>
      <c r="E9" s="154">
        <f>'Unit Data from Audit Worksheet'!F11</f>
        <v>0</v>
      </c>
      <c r="F9" s="351">
        <f>IF(E9&lt;0,"Error: Enter as positive.",)</f>
        <v>0</v>
      </c>
      <c r="G9" s="111"/>
      <c r="H9" s="112">
        <f>'Unit Data from Audit Worksheet'!I11</f>
        <v>0</v>
      </c>
      <c r="I9" s="38"/>
      <c r="J9" s="104">
        <v>576</v>
      </c>
      <c r="K9" s="359" t="s">
        <v>548</v>
      </c>
      <c r="L9" s="601">
        <f>IF(D9="",E9,D9)</f>
        <v>0</v>
      </c>
      <c r="N9" s="64"/>
      <c r="P9" s="325"/>
      <c r="W9" s="3" t="b">
        <f t="shared" si="0"/>
        <v>1</v>
      </c>
      <c r="X9" s="598">
        <f t="shared" si="1"/>
        <v>0</v>
      </c>
      <c r="Y9" s="598">
        <f t="shared" si="2"/>
        <v>0</v>
      </c>
    </row>
    <row r="10" spans="1:25" s="18" customFormat="1" ht="100.5" customHeight="1" x14ac:dyDescent="0.3">
      <c r="A10" s="342">
        <f>'Unit Data from Audit Worksheet'!A12</f>
        <v>626</v>
      </c>
      <c r="B10" s="347" t="str">
        <f>'Unit Data from Audit Worksheet'!C12</f>
        <v>Net Position-Governmental Activities</v>
      </c>
      <c r="C10" s="346" t="str">
        <f>'Unit Data from Audit Worksheet'!D12</f>
        <v xml:space="preserve">Total Current liabilities (as reported on Statement of Net Position)
Include:   Current liabilities including current portion of long-term debt.  Deferred inflows should not be included in Current Liabilities  </v>
      </c>
      <c r="D10" s="109"/>
      <c r="E10" s="368">
        <f>'Unit Data from Audit Worksheet'!F12</f>
        <v>0</v>
      </c>
      <c r="F10" s="350">
        <f>IF(L10&lt;0,"Error: Enter as a positive.",)</f>
        <v>0</v>
      </c>
      <c r="G10" s="335"/>
      <c r="H10" s="350">
        <f>'Unit Data from Audit Worksheet'!I12</f>
        <v>0</v>
      </c>
      <c r="I10" s="38"/>
      <c r="J10" s="349">
        <v>626</v>
      </c>
      <c r="K10" s="318" t="s">
        <v>743</v>
      </c>
      <c r="L10" s="604">
        <f>IF(D10="",E10,D10)+IF(D9="",E9,D9)</f>
        <v>0</v>
      </c>
      <c r="M10" s="605"/>
      <c r="N10" s="181" t="s">
        <v>544</v>
      </c>
      <c r="O10" s="605"/>
      <c r="P10" s="326"/>
      <c r="Q10" s="606"/>
      <c r="R10" s="3"/>
      <c r="W10" s="18" t="b">
        <f t="shared" si="0"/>
        <v>1</v>
      </c>
      <c r="X10" s="607">
        <f t="shared" si="1"/>
        <v>0</v>
      </c>
      <c r="Y10" s="607">
        <f t="shared" si="2"/>
        <v>0</v>
      </c>
    </row>
    <row r="11" spans="1:25" s="18" customFormat="1" ht="86.25" customHeight="1" x14ac:dyDescent="0.3">
      <c r="A11" s="342">
        <f>'Unit Data from Audit Worksheet'!A13</f>
        <v>627</v>
      </c>
      <c r="B11" s="347" t="str">
        <f>'Unit Data from Audit Worksheet'!C13</f>
        <v>Net Position-Governmental Activities</v>
      </c>
      <c r="C11" s="346" t="str">
        <f>'Unit Data from Audit Worksheet'!D13</f>
        <v>Please enter any bond anticipation notes that are classified as current liabilities and included in account 626 above (amounts entered should agree to the current amount included in the changes to long-term debt note)</v>
      </c>
      <c r="D11" s="109"/>
      <c r="E11" s="368">
        <f>'Unit Data from Audit Worksheet'!F13</f>
        <v>0</v>
      </c>
      <c r="F11" s="350"/>
      <c r="G11" s="335"/>
      <c r="H11" s="350"/>
      <c r="I11" s="38"/>
      <c r="J11" s="349">
        <v>627</v>
      </c>
      <c r="K11" s="318" t="s">
        <v>735</v>
      </c>
      <c r="L11" s="608">
        <f t="shared" ref="L11:L16" si="3">IF(D11="",E11,D11)</f>
        <v>0</v>
      </c>
      <c r="M11" s="605"/>
      <c r="N11" s="180"/>
      <c r="O11" s="605"/>
      <c r="P11" s="326"/>
      <c r="Q11" s="606"/>
      <c r="R11" s="3"/>
      <c r="W11" s="18" t="b">
        <f t="shared" si="0"/>
        <v>1</v>
      </c>
      <c r="X11" s="607">
        <f t="shared" si="1"/>
        <v>0</v>
      </c>
      <c r="Y11" s="607">
        <f t="shared" si="2"/>
        <v>0</v>
      </c>
    </row>
    <row r="12" spans="1:25" s="18" customFormat="1" ht="86.25" customHeight="1" x14ac:dyDescent="0.3">
      <c r="A12" s="342">
        <f>'Unit Data from Audit Worksheet'!A14</f>
        <v>628</v>
      </c>
      <c r="B12" s="347" t="str">
        <f>'Unit Data from Audit Worksheet'!C14</f>
        <v>Net Position-Governmental Activities</v>
      </c>
      <c r="C12" s="346" t="str">
        <f>'Unit Data from Audit Worksheet'!D14</f>
        <v>Please enter any compensated absences that are classified as current liabilities and included in account 626 above (amounts entered should agree to the current amount included in the changes to long-term debt note)</v>
      </c>
      <c r="D12" s="109"/>
      <c r="E12" s="368">
        <f>'Unit Data from Audit Worksheet'!F14</f>
        <v>0</v>
      </c>
      <c r="F12" s="350"/>
      <c r="G12" s="335"/>
      <c r="H12" s="350"/>
      <c r="I12" s="38"/>
      <c r="J12" s="349">
        <v>628</v>
      </c>
      <c r="K12" s="318" t="s">
        <v>740</v>
      </c>
      <c r="L12" s="608">
        <f t="shared" si="3"/>
        <v>0</v>
      </c>
      <c r="M12" s="605"/>
      <c r="N12" s="180"/>
      <c r="O12" s="605"/>
      <c r="P12" s="326"/>
      <c r="Q12" s="606"/>
      <c r="R12" s="3"/>
      <c r="W12" s="18" t="b">
        <f t="shared" si="0"/>
        <v>1</v>
      </c>
      <c r="X12" s="607">
        <f t="shared" si="1"/>
        <v>0</v>
      </c>
      <c r="Y12" s="607">
        <f t="shared" si="2"/>
        <v>0</v>
      </c>
    </row>
    <row r="13" spans="1:25" s="18" customFormat="1" ht="93" customHeight="1" x14ac:dyDescent="0.3">
      <c r="A13" s="342">
        <f>'Unit Data from Audit Worksheet'!A15</f>
        <v>629</v>
      </c>
      <c r="B13" s="347" t="str">
        <f>'Unit Data from Audit Worksheet'!C15</f>
        <v>Net Position-Governmental Activities</v>
      </c>
      <c r="C13" s="346" t="str">
        <f>'Unit Data from Audit Worksheet'!D15</f>
        <v>Please enter any pension liabilities that are classified as current liabilities and included in account 626 above (amounts entered should agree to the current amount included in the changes to long-term debt note)</v>
      </c>
      <c r="D13" s="109"/>
      <c r="E13" s="368">
        <f>'Unit Data from Audit Worksheet'!F15</f>
        <v>0</v>
      </c>
      <c r="F13" s="350"/>
      <c r="G13" s="335"/>
      <c r="H13" s="350"/>
      <c r="I13" s="38"/>
      <c r="J13" s="349">
        <v>629</v>
      </c>
      <c r="K13" s="318" t="s">
        <v>739</v>
      </c>
      <c r="L13" s="608">
        <f t="shared" si="3"/>
        <v>0</v>
      </c>
      <c r="M13" s="605"/>
      <c r="N13" s="180"/>
      <c r="O13" s="605"/>
      <c r="P13" s="326"/>
      <c r="Q13" s="606"/>
      <c r="R13" s="3"/>
      <c r="W13" s="18" t="b">
        <f t="shared" si="0"/>
        <v>1</v>
      </c>
      <c r="X13" s="607">
        <f t="shared" si="1"/>
        <v>0</v>
      </c>
      <c r="Y13" s="607">
        <f t="shared" si="2"/>
        <v>0</v>
      </c>
    </row>
    <row r="14" spans="1:25" s="18" customFormat="1" ht="67.5" customHeight="1" x14ac:dyDescent="0.3">
      <c r="A14" s="342">
        <f>'Unit Data from Audit Worksheet'!A16</f>
        <v>630</v>
      </c>
      <c r="B14" s="347" t="str">
        <f>'Unit Data from Audit Worksheet'!C16</f>
        <v>Net Position-Governmental Activities</v>
      </c>
      <c r="C14" s="346" t="str">
        <f>'Unit Data from Audit Worksheet'!D16</f>
        <v>Please enter any current liabilities that are payable from restricted assets and included in account 626 above</v>
      </c>
      <c r="D14" s="109"/>
      <c r="E14" s="368">
        <f>'Unit Data from Audit Worksheet'!F16</f>
        <v>0</v>
      </c>
      <c r="F14" s="350"/>
      <c r="G14" s="335"/>
      <c r="H14" s="350"/>
      <c r="I14" s="38"/>
      <c r="J14" s="349">
        <v>630</v>
      </c>
      <c r="K14" s="318" t="s">
        <v>738</v>
      </c>
      <c r="L14" s="608">
        <f t="shared" si="3"/>
        <v>0</v>
      </c>
      <c r="M14" s="605"/>
      <c r="N14" s="180"/>
      <c r="O14" s="605"/>
      <c r="P14" s="326"/>
      <c r="Q14" s="606"/>
      <c r="R14" s="3"/>
      <c r="W14" s="18" t="b">
        <f t="shared" si="0"/>
        <v>1</v>
      </c>
      <c r="X14" s="607">
        <f t="shared" si="1"/>
        <v>0</v>
      </c>
      <c r="Y14" s="607">
        <f t="shared" si="2"/>
        <v>0</v>
      </c>
    </row>
    <row r="15" spans="1:25" s="18" customFormat="1" ht="102.75" customHeight="1" x14ac:dyDescent="0.3">
      <c r="A15" s="342">
        <f>'Unit Data from Audit Worksheet'!A17</f>
        <v>631</v>
      </c>
      <c r="B15" s="356" t="str">
        <f>'Unit Data from Audit Worksheet'!C17</f>
        <v>Net Position-Governmental Activities</v>
      </c>
      <c r="C15" s="336" t="str">
        <f>'Unit Data from Audit Worksheet'!D17</f>
        <v>Please enter any OPEB liabilities that are classified as current liabilities and included in account 626 above (amounts entered should agree to the current amount included in the changes to long-term debt note)</v>
      </c>
      <c r="D15" s="109"/>
      <c r="E15" s="368">
        <f>'Unit Data from Audit Worksheet'!F17</f>
        <v>0</v>
      </c>
      <c r="F15" s="350"/>
      <c r="G15" s="335"/>
      <c r="H15" s="350"/>
      <c r="I15" s="38"/>
      <c r="J15" s="349">
        <v>631</v>
      </c>
      <c r="K15" s="318" t="s">
        <v>737</v>
      </c>
      <c r="L15" s="608">
        <f t="shared" si="3"/>
        <v>0</v>
      </c>
      <c r="M15" s="605"/>
      <c r="N15" s="180"/>
      <c r="O15" s="605"/>
      <c r="P15" s="326"/>
      <c r="Q15" s="606"/>
      <c r="R15" s="3"/>
      <c r="W15" s="18" t="b">
        <f t="shared" si="0"/>
        <v>1</v>
      </c>
      <c r="X15" s="607">
        <f t="shared" si="1"/>
        <v>0</v>
      </c>
      <c r="Y15" s="607">
        <f t="shared" si="2"/>
        <v>0</v>
      </c>
    </row>
    <row r="16" spans="1:25" s="18" customFormat="1" ht="119.25" customHeight="1" x14ac:dyDescent="0.3">
      <c r="A16" s="342">
        <f>'Unit Data from Audit Worksheet'!A18</f>
        <v>632</v>
      </c>
      <c r="B16" s="356" t="str">
        <f>'Unit Data from Audit Worksheet'!C18</f>
        <v>Net Position-Governmental Activities</v>
      </c>
      <c r="C16" s="336"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9"/>
      <c r="E16" s="368">
        <f>'Unit Data from Audit Worksheet'!F18</f>
        <v>0</v>
      </c>
      <c r="F16" s="350"/>
      <c r="G16" s="335"/>
      <c r="H16" s="350"/>
      <c r="I16" s="38"/>
      <c r="J16" s="349">
        <v>632</v>
      </c>
      <c r="K16" s="318" t="s">
        <v>736</v>
      </c>
      <c r="L16" s="608">
        <f t="shared" si="3"/>
        <v>0</v>
      </c>
      <c r="M16" s="605"/>
      <c r="N16" s="180"/>
      <c r="O16" s="605"/>
      <c r="P16" s="326"/>
      <c r="Q16" s="606"/>
      <c r="R16" s="3"/>
      <c r="W16" s="18" t="b">
        <f t="shared" si="0"/>
        <v>1</v>
      </c>
      <c r="X16" s="607">
        <f t="shared" si="1"/>
        <v>0</v>
      </c>
      <c r="Y16" s="607">
        <f t="shared" si="2"/>
        <v>0</v>
      </c>
    </row>
    <row r="17" spans="1:25" ht="30.6" x14ac:dyDescent="0.3">
      <c r="A17" s="342">
        <f>'Unit Data from Audit Worksheet'!A19</f>
        <v>338</v>
      </c>
      <c r="B17" s="356" t="str">
        <f>'Unit Data from Audit Worksheet'!C19</f>
        <v>Net Position-Governmental Activities</v>
      </c>
      <c r="C17" s="341" t="str">
        <f>'Unit Data from Audit Worksheet'!D19</f>
        <v>Total Liabilities and total deferred inflows</v>
      </c>
      <c r="D17" s="109"/>
      <c r="E17" s="151">
        <f>'Unit Data from Audit Worksheet'!F19</f>
        <v>0</v>
      </c>
      <c r="F17" s="134" t="str">
        <f>IF(L10&gt;L17,"Please review accounts 626 greater than 338","")</f>
        <v/>
      </c>
      <c r="G17" s="72"/>
      <c r="H17" s="354">
        <f>'Unit Data from Audit Worksheet'!I19</f>
        <v>0</v>
      </c>
      <c r="I17" s="38"/>
      <c r="J17" s="113">
        <v>338</v>
      </c>
      <c r="K17" s="114" t="s">
        <v>116</v>
      </c>
      <c r="L17" s="602">
        <f>IF(D17="",E17,D17)+IF(D9="",E9,D9)</f>
        <v>0</v>
      </c>
      <c r="N17" s="78" t="s">
        <v>544</v>
      </c>
      <c r="P17" s="323"/>
      <c r="W17" s="3" t="b">
        <f t="shared" si="0"/>
        <v>1</v>
      </c>
      <c r="X17" s="598">
        <f t="shared" si="1"/>
        <v>0</v>
      </c>
      <c r="Y17" s="598">
        <f t="shared" si="2"/>
        <v>0</v>
      </c>
    </row>
    <row r="18" spans="1:25" ht="100.5" customHeight="1" x14ac:dyDescent="0.3">
      <c r="A18" s="342">
        <f>'Unit Data from Audit Worksheet'!A20</f>
        <v>335</v>
      </c>
      <c r="B18" s="356" t="str">
        <f>'Unit Data from Audit Worksheet'!C20</f>
        <v>Net Position-Governmental Activities</v>
      </c>
      <c r="C18" s="341" t="str">
        <f>'Unit Data from Audit Worksheet'!D20</f>
        <v>Unearned revenues that were included in current liabilities in your audit report or entered in acct # 626 above. 
Exclude - unearned revenues that are listed in deferred inflows.</v>
      </c>
      <c r="D18" s="109"/>
      <c r="E18" s="362">
        <f>'Unit Data from Audit Worksheet'!F20</f>
        <v>0</v>
      </c>
      <c r="F18" s="355">
        <f>IF(L18&lt;0,"Error: Enter as a positive.",)</f>
        <v>0</v>
      </c>
      <c r="G18" s="357"/>
      <c r="H18" s="354">
        <f>'Unit Data from Audit Worksheet'!I20</f>
        <v>0</v>
      </c>
      <c r="I18" s="38"/>
      <c r="J18" s="353">
        <v>335</v>
      </c>
      <c r="K18" s="352" t="s">
        <v>117</v>
      </c>
      <c r="L18" s="601">
        <f>IF(D18="",E18,D18)</f>
        <v>0</v>
      </c>
      <c r="P18" s="324"/>
      <c r="W18" s="3" t="b">
        <f t="shared" si="0"/>
        <v>1</v>
      </c>
      <c r="X18" s="598">
        <f t="shared" si="1"/>
        <v>0</v>
      </c>
      <c r="Y18" s="598">
        <f t="shared" si="2"/>
        <v>0</v>
      </c>
    </row>
    <row r="19" spans="1:25" ht="20.399999999999999" x14ac:dyDescent="0.3">
      <c r="A19" s="342">
        <f>'Unit Data from Audit Worksheet'!A21</f>
        <v>252</v>
      </c>
      <c r="B19" s="356" t="str">
        <f>'Unit Data from Audit Worksheet'!C21</f>
        <v>Net Position-Governmental Activities</v>
      </c>
      <c r="C19" s="341" t="str">
        <f>'Unit Data from Audit Worksheet'!D21</f>
        <v xml:space="preserve"> Total Net investment in capital assets</v>
      </c>
      <c r="D19" s="109"/>
      <c r="E19" s="362">
        <f>'Unit Data from Audit Worksheet'!F21</f>
        <v>0</v>
      </c>
      <c r="F19" s="355"/>
      <c r="G19" s="357"/>
      <c r="H19" s="354">
        <f>'Unit Data from Audit Worksheet'!I21</f>
        <v>0</v>
      </c>
      <c r="I19" s="38"/>
      <c r="J19" s="353">
        <v>252</v>
      </c>
      <c r="K19" s="352" t="s">
        <v>103</v>
      </c>
      <c r="L19" s="601">
        <f t="shared" ref="L19:L51" si="4">IF(D19="",E19,D19)</f>
        <v>0</v>
      </c>
      <c r="O19" s="609" t="e">
        <f>'Unit Data from Audit Worksheet'!E21</f>
        <v>#N/A</v>
      </c>
      <c r="P19" s="324"/>
      <c r="W19" s="3" t="b">
        <f t="shared" si="0"/>
        <v>1</v>
      </c>
      <c r="X19" s="598">
        <f t="shared" si="1"/>
        <v>0</v>
      </c>
      <c r="Y19" s="598">
        <f t="shared" si="2"/>
        <v>0</v>
      </c>
    </row>
    <row r="20" spans="1:25" ht="20.399999999999999" x14ac:dyDescent="0.3">
      <c r="A20" s="342">
        <f>'Unit Data from Audit Worksheet'!A22</f>
        <v>253</v>
      </c>
      <c r="B20" s="356" t="str">
        <f>'Unit Data from Audit Worksheet'!C22</f>
        <v>Net Position-Governmental Activities</v>
      </c>
      <c r="C20" s="341" t="str">
        <f>'Unit Data from Audit Worksheet'!D22</f>
        <v xml:space="preserve"> Total Net Position, Restricted</v>
      </c>
      <c r="D20" s="109"/>
      <c r="E20" s="362">
        <f>'Unit Data from Audit Worksheet'!F22</f>
        <v>0</v>
      </c>
      <c r="F20" s="355"/>
      <c r="G20" s="357"/>
      <c r="H20" s="354">
        <f>'Unit Data from Audit Worksheet'!I22</f>
        <v>0</v>
      </c>
      <c r="I20" s="38"/>
      <c r="J20" s="353">
        <v>253</v>
      </c>
      <c r="K20" s="352" t="s">
        <v>104</v>
      </c>
      <c r="L20" s="601">
        <f t="shared" si="4"/>
        <v>0</v>
      </c>
      <c r="O20" s="609" t="e">
        <f>'Unit Data from Audit Worksheet'!E22</f>
        <v>#N/A</v>
      </c>
      <c r="P20" s="324"/>
      <c r="W20" s="3" t="b">
        <f t="shared" si="0"/>
        <v>1</v>
      </c>
      <c r="X20" s="598">
        <f t="shared" si="1"/>
        <v>0</v>
      </c>
      <c r="Y20" s="598">
        <f t="shared" si="2"/>
        <v>0</v>
      </c>
    </row>
    <row r="21" spans="1:25" ht="73.5" customHeight="1" x14ac:dyDescent="0.3">
      <c r="A21" s="342">
        <f>'Unit Data from Audit Worksheet'!A23</f>
        <v>254</v>
      </c>
      <c r="B21" s="356" t="str">
        <f>'Unit Data from Audit Worksheet'!C23</f>
        <v>Net Position-Governmental Activities</v>
      </c>
      <c r="C21" s="341" t="str">
        <f>'Unit Data from Audit Worksheet'!D23</f>
        <v>Total Net Position, Unrestricted - enter negative unrestricted net position as a negative)</v>
      </c>
      <c r="D21" s="109"/>
      <c r="E21" s="362">
        <f>'Unit Data from Audit Worksheet'!F23</f>
        <v>0</v>
      </c>
      <c r="F21" s="355">
        <f>IF((L7-L17-L19-L20-L21)=0,,"Error: Total assets and deferred outflows less total liabilities and deferred inflows do not equal total net position accts 385-338-252-253-254")</f>
        <v>0</v>
      </c>
      <c r="G21" s="90">
        <f>+L7-L17-L19-L20-L21</f>
        <v>0</v>
      </c>
      <c r="H21" s="354">
        <f>'Unit Data from Audit Worksheet'!I23</f>
        <v>0</v>
      </c>
      <c r="I21" s="38"/>
      <c r="J21" s="353">
        <v>254</v>
      </c>
      <c r="K21" s="352" t="s">
        <v>105</v>
      </c>
      <c r="L21" s="601">
        <f t="shared" si="4"/>
        <v>0</v>
      </c>
      <c r="O21" s="609" t="e">
        <f>'Unit Data from Audit Worksheet'!E23</f>
        <v>#N/A</v>
      </c>
      <c r="P21" s="324"/>
      <c r="Q21" s="591">
        <f>IF(G21&lt;&gt;0,1,0)</f>
        <v>0</v>
      </c>
      <c r="W21" s="3" t="b">
        <f t="shared" si="0"/>
        <v>1</v>
      </c>
      <c r="X21" s="598">
        <f t="shared" si="1"/>
        <v>0</v>
      </c>
      <c r="Y21" s="598">
        <f t="shared" si="2"/>
        <v>0</v>
      </c>
    </row>
    <row r="22" spans="1:25" ht="51.75" customHeight="1" x14ac:dyDescent="0.3">
      <c r="A22" s="342">
        <f>'Unit Data from Audit Worksheet'!A25</f>
        <v>502</v>
      </c>
      <c r="B22" s="356" t="str">
        <f>'Unit Data from Audit Worksheet'!C25</f>
        <v>Net Position-Business Activities</v>
      </c>
      <c r="C22" s="341" t="str">
        <f>'Unit Data from Audit Worksheet'!D25</f>
        <v xml:space="preserve">All unrestricted Cash and investments. 
Exclude restricted cash and cash held by a third party. </v>
      </c>
      <c r="D22" s="109"/>
      <c r="E22" s="362">
        <f>'Unit Data from Audit Worksheet'!F25</f>
        <v>0</v>
      </c>
      <c r="F22" s="355">
        <f>IF(L22&lt;0,"Error: Number is normally positive.",)</f>
        <v>0</v>
      </c>
      <c r="G22" s="357"/>
      <c r="H22" s="354">
        <f>'Unit Data from Audit Worksheet'!I25</f>
        <v>0</v>
      </c>
      <c r="I22" s="38"/>
      <c r="J22" s="353">
        <v>502</v>
      </c>
      <c r="K22" s="352" t="s">
        <v>186</v>
      </c>
      <c r="L22" s="601">
        <f t="shared" si="4"/>
        <v>0</v>
      </c>
      <c r="P22" s="324"/>
      <c r="W22" s="3" t="b">
        <f t="shared" si="0"/>
        <v>1</v>
      </c>
      <c r="X22" s="598">
        <f t="shared" si="1"/>
        <v>0</v>
      </c>
      <c r="Y22" s="598">
        <f t="shared" si="2"/>
        <v>0</v>
      </c>
    </row>
    <row r="23" spans="1:25" ht="40.5" customHeight="1" x14ac:dyDescent="0.3">
      <c r="A23" s="342">
        <f>'Unit Data from Audit Worksheet'!A26</f>
        <v>503</v>
      </c>
      <c r="B23" s="356" t="str">
        <f>'Unit Data from Audit Worksheet'!C26</f>
        <v>Net Position-Business Activities</v>
      </c>
      <c r="C23" s="341" t="str">
        <f>'Unit Data from Audit Worksheet'!D26</f>
        <v>All restricted Cash and investments</v>
      </c>
      <c r="D23" s="109"/>
      <c r="E23" s="362">
        <f>'Unit Data from Audit Worksheet'!F26</f>
        <v>0</v>
      </c>
      <c r="F23" s="355">
        <f>IF(L23&lt;0,"Error: Number is normally positive.",)</f>
        <v>0</v>
      </c>
      <c r="G23" s="357"/>
      <c r="H23" s="354">
        <f>'Unit Data from Audit Worksheet'!I26</f>
        <v>0</v>
      </c>
      <c r="I23" s="38"/>
      <c r="J23" s="353">
        <v>503</v>
      </c>
      <c r="K23" s="352" t="s">
        <v>187</v>
      </c>
      <c r="L23" s="601">
        <f t="shared" si="4"/>
        <v>0</v>
      </c>
      <c r="P23" s="324"/>
      <c r="W23" s="3" t="b">
        <f t="shared" si="0"/>
        <v>1</v>
      </c>
      <c r="X23" s="598">
        <f t="shared" si="1"/>
        <v>0</v>
      </c>
      <c r="Y23" s="598">
        <f t="shared" si="2"/>
        <v>0</v>
      </c>
    </row>
    <row r="24" spans="1:25" ht="39" customHeight="1" x14ac:dyDescent="0.3">
      <c r="A24" s="342">
        <f>'Unit Data from Audit Worksheet'!A28</f>
        <v>344</v>
      </c>
      <c r="B24" s="356" t="str">
        <f>'Unit Data from Audit Worksheet'!C28</f>
        <v>Statement of Activities - Governmental</v>
      </c>
      <c r="C24" s="341" t="str">
        <f>'Unit Data from Audit Worksheet'!D28</f>
        <v xml:space="preserve">Total Interest expense on Long-Term Debt </v>
      </c>
      <c r="D24" s="109"/>
      <c r="E24" s="362">
        <f>'Unit Data from Audit Worksheet'!F28</f>
        <v>0</v>
      </c>
      <c r="F24" s="355">
        <f>IF(L24&lt;0,"Error: Enter as a positive.",)</f>
        <v>0</v>
      </c>
      <c r="G24" s="357"/>
      <c r="H24" s="354">
        <f>'Unit Data from Audit Worksheet'!I28</f>
        <v>0</v>
      </c>
      <c r="I24" s="38"/>
      <c r="J24" s="353">
        <v>344</v>
      </c>
      <c r="K24" s="352" t="s">
        <v>188</v>
      </c>
      <c r="L24" s="601">
        <f t="shared" si="4"/>
        <v>0</v>
      </c>
      <c r="P24" s="324"/>
      <c r="W24" s="3" t="b">
        <f t="shared" si="0"/>
        <v>1</v>
      </c>
      <c r="X24" s="598">
        <f t="shared" si="1"/>
        <v>0</v>
      </c>
      <c r="Y24" s="598">
        <f t="shared" si="2"/>
        <v>0</v>
      </c>
    </row>
    <row r="25" spans="1:25" ht="39" customHeight="1" x14ac:dyDescent="0.3">
      <c r="A25" s="342">
        <f>'Unit Data from Audit Worksheet'!A29</f>
        <v>388</v>
      </c>
      <c r="B25" s="356" t="str">
        <f>'Unit Data from Audit Worksheet'!C29</f>
        <v>Statement of Activities - Governmental</v>
      </c>
      <c r="C25" s="341" t="str">
        <f>'Unit Data from Audit Worksheet'!D29</f>
        <v>Total Expenses</v>
      </c>
      <c r="D25" s="109"/>
      <c r="E25" s="362">
        <f>'Unit Data from Audit Worksheet'!F29</f>
        <v>0</v>
      </c>
      <c r="F25" s="355">
        <f t="shared" ref="F25:F30" si="5">IF(L25&lt;0,"Error: Number is normally positive.",)</f>
        <v>0</v>
      </c>
      <c r="G25" s="357"/>
      <c r="H25" s="354">
        <f>'Unit Data from Audit Worksheet'!I29</f>
        <v>0</v>
      </c>
      <c r="I25" s="38"/>
      <c r="J25" s="353">
        <v>388</v>
      </c>
      <c r="K25" s="352" t="s">
        <v>189</v>
      </c>
      <c r="L25" s="601">
        <f t="shared" si="4"/>
        <v>0</v>
      </c>
      <c r="P25" s="324"/>
      <c r="W25" s="3" t="b">
        <f t="shared" si="0"/>
        <v>1</v>
      </c>
      <c r="X25" s="598">
        <f t="shared" si="1"/>
        <v>0</v>
      </c>
      <c r="Y25" s="598">
        <f t="shared" si="2"/>
        <v>0</v>
      </c>
    </row>
    <row r="26" spans="1:25" ht="39" customHeight="1" x14ac:dyDescent="0.3">
      <c r="A26" s="342">
        <f>'Unit Data from Audit Worksheet'!A30</f>
        <v>339</v>
      </c>
      <c r="B26" s="356" t="str">
        <f>'Unit Data from Audit Worksheet'!C30</f>
        <v>Statement of Activities - Governmental</v>
      </c>
      <c r="C26" s="341" t="str">
        <f>'Unit Data from Audit Worksheet'!D30</f>
        <v xml:space="preserve">Charges for services </v>
      </c>
      <c r="D26" s="109"/>
      <c r="E26" s="362">
        <f>'Unit Data from Audit Worksheet'!F30</f>
        <v>0</v>
      </c>
      <c r="F26" s="355">
        <f t="shared" si="5"/>
        <v>0</v>
      </c>
      <c r="G26" s="357"/>
      <c r="H26" s="354">
        <f>'Unit Data from Audit Worksheet'!I30</f>
        <v>0</v>
      </c>
      <c r="I26" s="38"/>
      <c r="J26" s="353">
        <v>339</v>
      </c>
      <c r="K26" s="352" t="s">
        <v>190</v>
      </c>
      <c r="L26" s="601">
        <f t="shared" si="4"/>
        <v>0</v>
      </c>
      <c r="P26" s="324"/>
      <c r="W26" s="3" t="b">
        <f t="shared" si="0"/>
        <v>1</v>
      </c>
      <c r="X26" s="598">
        <f t="shared" si="1"/>
        <v>0</v>
      </c>
      <c r="Y26" s="598">
        <f t="shared" si="2"/>
        <v>0</v>
      </c>
    </row>
    <row r="27" spans="1:25" ht="39" customHeight="1" x14ac:dyDescent="0.3">
      <c r="A27" s="342">
        <f>'Unit Data from Audit Worksheet'!A31</f>
        <v>504</v>
      </c>
      <c r="B27" s="356" t="str">
        <f>'Unit Data from Audit Worksheet'!C31</f>
        <v>Statement of Activities - Governmental</v>
      </c>
      <c r="C27" s="341" t="str">
        <f>'Unit Data from Audit Worksheet'!D31</f>
        <v>Operating grants and contributions</v>
      </c>
      <c r="D27" s="109"/>
      <c r="E27" s="362">
        <f>'Unit Data from Audit Worksheet'!F31</f>
        <v>0</v>
      </c>
      <c r="F27" s="355">
        <f t="shared" si="5"/>
        <v>0</v>
      </c>
      <c r="G27" s="357"/>
      <c r="H27" s="354">
        <f>'Unit Data from Audit Worksheet'!I31</f>
        <v>0</v>
      </c>
      <c r="I27" s="38"/>
      <c r="J27" s="353">
        <v>504</v>
      </c>
      <c r="K27" s="352" t="s">
        <v>191</v>
      </c>
      <c r="L27" s="601">
        <f t="shared" si="4"/>
        <v>0</v>
      </c>
      <c r="P27" s="324"/>
      <c r="W27" s="3" t="b">
        <f t="shared" si="0"/>
        <v>1</v>
      </c>
      <c r="X27" s="598">
        <f t="shared" si="1"/>
        <v>0</v>
      </c>
      <c r="Y27" s="598">
        <f t="shared" si="2"/>
        <v>0</v>
      </c>
    </row>
    <row r="28" spans="1:25" ht="39" customHeight="1" x14ac:dyDescent="0.3">
      <c r="A28" s="342">
        <f>'Unit Data from Audit Worksheet'!A32</f>
        <v>505</v>
      </c>
      <c r="B28" s="356" t="str">
        <f>'Unit Data from Audit Worksheet'!C32</f>
        <v>Statement of Activities - Governmental</v>
      </c>
      <c r="C28" s="341" t="str">
        <f>'Unit Data from Audit Worksheet'!D32</f>
        <v>Capital grants and contributions</v>
      </c>
      <c r="D28" s="109"/>
      <c r="E28" s="362">
        <f>'Unit Data from Audit Worksheet'!F32</f>
        <v>0</v>
      </c>
      <c r="F28" s="355">
        <f t="shared" si="5"/>
        <v>0</v>
      </c>
      <c r="G28" s="357"/>
      <c r="H28" s="354">
        <f>'Unit Data from Audit Worksheet'!I32</f>
        <v>0</v>
      </c>
      <c r="I28" s="38"/>
      <c r="J28" s="353">
        <v>505</v>
      </c>
      <c r="K28" s="352" t="s">
        <v>192</v>
      </c>
      <c r="L28" s="601">
        <f t="shared" si="4"/>
        <v>0</v>
      </c>
      <c r="P28" s="324"/>
      <c r="W28" s="3" t="b">
        <f t="shared" si="0"/>
        <v>1</v>
      </c>
      <c r="X28" s="598">
        <f t="shared" si="1"/>
        <v>0</v>
      </c>
      <c r="Y28" s="598">
        <f t="shared" si="2"/>
        <v>0</v>
      </c>
    </row>
    <row r="29" spans="1:25" ht="82.5" customHeight="1" x14ac:dyDescent="0.3">
      <c r="A29" s="342">
        <f>'Unit Data from Audit Worksheet'!A33</f>
        <v>341</v>
      </c>
      <c r="B29" s="356" t="str">
        <f>'Unit Data from Audit Worksheet'!C33</f>
        <v>Statement of Activities - Governmental</v>
      </c>
      <c r="C29" s="341" t="str">
        <f>'Unit Data from Audit Worksheet'!D33</f>
        <v>Total General revenues
Exclude: transfers-in or out,
                 special items,
                 extraordinary amounts</v>
      </c>
      <c r="D29" s="109"/>
      <c r="E29" s="362">
        <f>'Unit Data from Audit Worksheet'!F33</f>
        <v>0</v>
      </c>
      <c r="F29" s="355">
        <f t="shared" si="5"/>
        <v>0</v>
      </c>
      <c r="G29" s="357"/>
      <c r="H29" s="354">
        <f>'Unit Data from Audit Worksheet'!I33</f>
        <v>0</v>
      </c>
      <c r="I29" s="38"/>
      <c r="J29" s="353">
        <v>341</v>
      </c>
      <c r="K29" s="352" t="s">
        <v>193</v>
      </c>
      <c r="L29" s="601">
        <f t="shared" si="4"/>
        <v>0</v>
      </c>
      <c r="P29" s="324"/>
      <c r="W29" s="3" t="b">
        <f t="shared" si="0"/>
        <v>1</v>
      </c>
      <c r="X29" s="598">
        <f t="shared" si="1"/>
        <v>0</v>
      </c>
      <c r="Y29" s="598">
        <f t="shared" si="2"/>
        <v>0</v>
      </c>
    </row>
    <row r="30" spans="1:25" ht="82.5" customHeight="1" x14ac:dyDescent="0.3">
      <c r="A30" s="342">
        <f>'Unit Data from Audit Worksheet'!A34</f>
        <v>386</v>
      </c>
      <c r="B30" s="356" t="str">
        <f>'Unit Data from Audit Worksheet'!C34</f>
        <v>Statement of Activities - Governmental</v>
      </c>
      <c r="C30" s="341" t="str">
        <f>'Unit Data from Audit Worksheet'!D34</f>
        <v>Total Transfers in    (Preference is that transfers-in  are not netted against transfers-out)</v>
      </c>
      <c r="D30" s="109"/>
      <c r="E30" s="362">
        <f>'Unit Data from Audit Worksheet'!F34</f>
        <v>0</v>
      </c>
      <c r="F30" s="355">
        <f t="shared" si="5"/>
        <v>0</v>
      </c>
      <c r="G30" s="357"/>
      <c r="H30" s="354">
        <f>'Unit Data from Audit Worksheet'!I34</f>
        <v>0</v>
      </c>
      <c r="I30" s="38"/>
      <c r="J30" s="353">
        <v>386</v>
      </c>
      <c r="K30" s="352" t="s">
        <v>194</v>
      </c>
      <c r="L30" s="601">
        <f t="shared" si="4"/>
        <v>0</v>
      </c>
      <c r="P30" s="324"/>
      <c r="W30" s="3" t="b">
        <f t="shared" si="0"/>
        <v>1</v>
      </c>
      <c r="X30" s="598">
        <f t="shared" si="1"/>
        <v>0</v>
      </c>
      <c r="Y30" s="598">
        <f t="shared" si="2"/>
        <v>0</v>
      </c>
    </row>
    <row r="31" spans="1:25" ht="82.5" customHeight="1" x14ac:dyDescent="0.3">
      <c r="A31" s="342">
        <f>'Unit Data from Audit Worksheet'!A35</f>
        <v>387</v>
      </c>
      <c r="B31" s="356" t="str">
        <f>'Unit Data from Audit Worksheet'!C35</f>
        <v>Statement of Activities - Governmental</v>
      </c>
      <c r="C31" s="341" t="str">
        <f>'Unit Data from Audit Worksheet'!D35</f>
        <v>Total Transfers out    (Preference is that transfers-in  are not netted against transfers-out)</v>
      </c>
      <c r="D31" s="109"/>
      <c r="E31" s="362">
        <f>'Unit Data from Audit Worksheet'!F35</f>
        <v>0</v>
      </c>
      <c r="F31" s="355">
        <f>IF(L31&lt;0,"Error: Enter as a positive.",)</f>
        <v>0</v>
      </c>
      <c r="G31" s="357"/>
      <c r="H31" s="354">
        <f>'Unit Data from Audit Worksheet'!I35</f>
        <v>0</v>
      </c>
      <c r="I31" s="38"/>
      <c r="J31" s="353">
        <v>387</v>
      </c>
      <c r="K31" s="352" t="s">
        <v>195</v>
      </c>
      <c r="L31" s="601">
        <f t="shared" si="4"/>
        <v>0</v>
      </c>
      <c r="P31" s="324"/>
      <c r="W31" s="3" t="b">
        <f t="shared" si="0"/>
        <v>1</v>
      </c>
      <c r="X31" s="598">
        <f t="shared" si="1"/>
        <v>0</v>
      </c>
      <c r="Y31" s="598">
        <f t="shared" si="2"/>
        <v>0</v>
      </c>
    </row>
    <row r="32" spans="1:25" ht="82.5" customHeight="1" x14ac:dyDescent="0.3">
      <c r="A32" s="342">
        <f>'Unit Data from Audit Worksheet'!A36</f>
        <v>389</v>
      </c>
      <c r="B32" s="356" t="str">
        <f>'Unit Data from Audit Worksheet'!C36</f>
        <v>Statement of Activities - Governmental</v>
      </c>
      <c r="C32" s="341" t="str">
        <f>'Unit Data from Audit Worksheet'!D36</f>
        <v>Total Special and Extraordinary items.    (Amounts that increase net position are recorded as positive and amounts that decrease net position are recorded as negative)</v>
      </c>
      <c r="D32" s="109"/>
      <c r="E32" s="362">
        <f>'Unit Data from Audit Worksheet'!F36</f>
        <v>0</v>
      </c>
      <c r="F32" s="355"/>
      <c r="G32" s="357"/>
      <c r="H32" s="354">
        <f>'Unit Data from Audit Worksheet'!I36</f>
        <v>0</v>
      </c>
      <c r="I32" s="38"/>
      <c r="J32" s="353">
        <v>389</v>
      </c>
      <c r="K32" s="352" t="s">
        <v>196</v>
      </c>
      <c r="L32" s="601">
        <f t="shared" si="4"/>
        <v>0</v>
      </c>
      <c r="N32" s="610"/>
      <c r="P32" s="324"/>
      <c r="W32" s="3" t="b">
        <f t="shared" si="0"/>
        <v>1</v>
      </c>
      <c r="X32" s="598">
        <f t="shared" si="1"/>
        <v>0</v>
      </c>
      <c r="Y32" s="598">
        <f t="shared" si="2"/>
        <v>0</v>
      </c>
    </row>
    <row r="33" spans="1:25" ht="79.5" customHeight="1" x14ac:dyDescent="0.3">
      <c r="A33" s="342">
        <f>'Unit Data from Audit Worksheet'!A37</f>
        <v>255</v>
      </c>
      <c r="B33" s="356" t="str">
        <f>'Unit Data from Audit Worksheet'!C37</f>
        <v>Statement of Activities - Governmental</v>
      </c>
      <c r="C33" s="341" t="str">
        <f>'Unit Data from Audit Worksheet'!D37</f>
        <v>Total Change in net position - (Increase in net position is recorded as a positive and a decrease in net position is recorded as a negative)</v>
      </c>
      <c r="D33" s="109"/>
      <c r="E33" s="362">
        <f>'Unit Data from Audit Worksheet'!F37</f>
        <v>0</v>
      </c>
      <c r="F33" s="355">
        <f>IF((L26+L27+L28+L29+L30-L31+L32-L25-L33)=0,,"Total revenues less total expenses do not equal total change in net position. Acct 339+504+505+341+386-387+389-388-255=0")</f>
        <v>0</v>
      </c>
      <c r="G33" s="91">
        <f>L26+L27+L28+L29+L30-L31+L32-L25-L33</f>
        <v>0</v>
      </c>
      <c r="H33" s="354">
        <f>'Unit Data from Audit Worksheet'!I37</f>
        <v>0</v>
      </c>
      <c r="I33" s="38"/>
      <c r="J33" s="353">
        <v>255</v>
      </c>
      <c r="K33" s="352" t="s">
        <v>197</v>
      </c>
      <c r="L33" s="601">
        <f t="shared" si="4"/>
        <v>0</v>
      </c>
      <c r="O33" s="609" t="e">
        <f>'Unit Data from Audit Worksheet'!E37</f>
        <v>#N/A</v>
      </c>
      <c r="P33" s="324"/>
      <c r="Q33" s="591">
        <f>IF(G33&lt;&gt;0,1,0)</f>
        <v>0</v>
      </c>
      <c r="W33" s="3" t="b">
        <f t="shared" si="0"/>
        <v>1</v>
      </c>
      <c r="X33" s="598">
        <f t="shared" si="1"/>
        <v>0</v>
      </c>
      <c r="Y33" s="598">
        <f t="shared" si="2"/>
        <v>0</v>
      </c>
    </row>
    <row r="34" spans="1:25" ht="89.25" customHeight="1" x14ac:dyDescent="0.3">
      <c r="A34" s="342">
        <f>'Unit Data from Audit Worksheet'!A38</f>
        <v>376</v>
      </c>
      <c r="B34" s="356" t="str">
        <f>'Unit Data from Audit Worksheet'!C38</f>
        <v>Statement of Activities - Governmental</v>
      </c>
      <c r="C34" s="341" t="str">
        <f>'Unit Data from Audit Worksheet'!D38</f>
        <v>Any adjustment to beginning net position including rounding, prior period adjustments and restatements.   (Increases to net position are positive; decreases to net position are negative)</v>
      </c>
      <c r="D34" s="109"/>
      <c r="E34" s="362">
        <f>'Unit Data from Audit Worksheet'!F38</f>
        <v>0</v>
      </c>
      <c r="F34" s="87" t="e">
        <f>IF(L19+L20+L21-L33-L34=O19+O20+O21,,"Beginning Balance does not agree with our records acct (252+253+254-255-376=PY252+PY253+PY254)")</f>
        <v>#N/A</v>
      </c>
      <c r="G34" s="92" t="e">
        <f>L19+L20+L21-L33-L34-(O19+O20+O21)</f>
        <v>#N/A</v>
      </c>
      <c r="H34" s="354" t="str">
        <f>'Unit Data from Audit Worksheet'!I38</f>
        <v>Please do not enter prior's years beginning balance as an adjustment in column F.</v>
      </c>
      <c r="I34" s="38"/>
      <c r="J34" s="353">
        <v>376</v>
      </c>
      <c r="K34" s="352" t="s">
        <v>108</v>
      </c>
      <c r="L34" s="601">
        <f t="shared" si="4"/>
        <v>0</v>
      </c>
      <c r="O34" s="609" t="e">
        <f>'Unit Data from Audit Worksheet'!E38</f>
        <v>#N/A</v>
      </c>
      <c r="P34" s="324"/>
      <c r="Q34" s="591" t="e">
        <f>IF(G34&lt;&gt;0,1,0)</f>
        <v>#N/A</v>
      </c>
      <c r="W34" s="3" t="b">
        <f t="shared" si="0"/>
        <v>1</v>
      </c>
      <c r="X34" s="598">
        <f t="shared" si="1"/>
        <v>0</v>
      </c>
      <c r="Y34" s="598">
        <f t="shared" si="2"/>
        <v>0</v>
      </c>
    </row>
    <row r="35" spans="1:25" ht="157.5" customHeight="1" x14ac:dyDescent="0.3">
      <c r="A35" s="342">
        <f>'Unit Data from Audit Worksheet'!A39</f>
        <v>597</v>
      </c>
      <c r="B35" s="356" t="str">
        <f>'Unit Data from Audit Worksheet'!C39</f>
        <v>Statement of Activities                               (all governmental and business funds)</v>
      </c>
      <c r="C35" s="341"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9"/>
      <c r="E35" s="362">
        <f>'Unit Data from Audit Worksheet'!F39</f>
        <v>0</v>
      </c>
      <c r="F35" s="355">
        <f>IF(L35&lt;0,"Error: Number is normally positive.",)</f>
        <v>0</v>
      </c>
      <c r="G35" s="357"/>
      <c r="H35" s="354">
        <f>'Unit Data from Audit Worksheet'!I39</f>
        <v>0</v>
      </c>
      <c r="I35" s="38"/>
      <c r="J35" s="353">
        <v>597</v>
      </c>
      <c r="K35" s="352" t="s">
        <v>676</v>
      </c>
      <c r="L35" s="601">
        <f t="shared" si="4"/>
        <v>0</v>
      </c>
      <c r="O35" s="609"/>
      <c r="P35" s="324"/>
      <c r="W35" s="3" t="b">
        <f t="shared" si="0"/>
        <v>1</v>
      </c>
      <c r="X35" s="598">
        <f t="shared" si="1"/>
        <v>0</v>
      </c>
      <c r="Y35" s="598">
        <f t="shared" si="2"/>
        <v>0</v>
      </c>
    </row>
    <row r="36" spans="1:25" ht="90" customHeight="1" x14ac:dyDescent="0.3">
      <c r="A36" s="342">
        <f>'Unit Data from Audit Worksheet'!A41</f>
        <v>592</v>
      </c>
      <c r="B36" s="356" t="str">
        <f>'Unit Data from Audit Worksheet'!C41</f>
        <v>Statement of Activities - Business Activities</v>
      </c>
      <c r="C36" s="341" t="str">
        <f>'Unit Data from Audit Worksheet'!D41</f>
        <v>Total Change in net position Business Type 
(Increase in net position is recorded as a positive and a decrease in net position is recorded as a negative)</v>
      </c>
      <c r="D36" s="109"/>
      <c r="E36" s="362">
        <f>'Unit Data from Audit Worksheet'!F41</f>
        <v>0</v>
      </c>
      <c r="F36" s="355"/>
      <c r="G36" s="357"/>
      <c r="H36" s="354">
        <f>'Unit Data from Audit Worksheet'!I41</f>
        <v>0</v>
      </c>
      <c r="I36" s="38"/>
      <c r="J36" s="353">
        <v>592</v>
      </c>
      <c r="K36" s="352" t="s">
        <v>611</v>
      </c>
      <c r="L36" s="601">
        <f t="shared" si="4"/>
        <v>0</v>
      </c>
      <c r="O36" s="609"/>
      <c r="P36" s="324"/>
      <c r="W36" s="3" t="b">
        <f t="shared" ref="W36:W66" si="6">EXACT(A36,J36)</f>
        <v>1</v>
      </c>
      <c r="X36" s="598">
        <f t="shared" si="1"/>
        <v>0</v>
      </c>
      <c r="Y36" s="598">
        <f t="shared" si="2"/>
        <v>0</v>
      </c>
    </row>
    <row r="37" spans="1:25" ht="66" customHeight="1" x14ac:dyDescent="0.3">
      <c r="A37" s="342">
        <f>'Unit Data from Audit Worksheet'!A42</f>
        <v>591</v>
      </c>
      <c r="B37" s="356" t="str">
        <f>'Unit Data from Audit Worksheet'!C42</f>
        <v>Statement of Activities - Business Activities</v>
      </c>
      <c r="C37" s="341" t="str">
        <f>'Unit Data from Audit Worksheet'!D42</f>
        <v>Total Expenses - Exclude Transfers</v>
      </c>
      <c r="D37" s="109"/>
      <c r="E37" s="362">
        <f>'Unit Data from Audit Worksheet'!F42</f>
        <v>0</v>
      </c>
      <c r="F37" s="355">
        <f>IF(L37&lt;0,"Error: Enter as a positive.",)</f>
        <v>0</v>
      </c>
      <c r="G37" s="357"/>
      <c r="H37" s="354">
        <f>'Unit Data from Audit Worksheet'!I42</f>
        <v>0</v>
      </c>
      <c r="I37" s="38"/>
      <c r="J37" s="353">
        <v>591</v>
      </c>
      <c r="K37" s="352" t="s">
        <v>610</v>
      </c>
      <c r="L37" s="601">
        <f t="shared" si="4"/>
        <v>0</v>
      </c>
      <c r="O37" s="609"/>
      <c r="P37" s="324"/>
      <c r="W37" s="3" t="b">
        <f t="shared" si="6"/>
        <v>1</v>
      </c>
      <c r="X37" s="598">
        <f t="shared" si="1"/>
        <v>0</v>
      </c>
      <c r="Y37" s="598">
        <f t="shared" si="2"/>
        <v>0</v>
      </c>
    </row>
    <row r="38" spans="1:25" s="737" customFormat="1" ht="66" customHeight="1" x14ac:dyDescent="0.3">
      <c r="A38" s="342">
        <f>'Unit Data from Audit Worksheet'!A43</f>
        <v>593</v>
      </c>
      <c r="B38" s="356" t="str">
        <f>'Unit Data from Audit Worksheet'!C43</f>
        <v>Statement of Activities - Business Activities</v>
      </c>
      <c r="C38" s="341" t="str">
        <f>'Unit Data from Audit Worksheet'!D43</f>
        <v>Total Transfers in    (Preference is that transfers-in  are not netted against transfers-out)</v>
      </c>
      <c r="D38" s="109"/>
      <c r="E38" s="362">
        <f>'Unit Data from Audit Worksheet'!F43</f>
        <v>0</v>
      </c>
      <c r="F38" s="355"/>
      <c r="G38" s="357"/>
      <c r="H38" s="354"/>
      <c r="I38" s="739"/>
      <c r="J38" s="353">
        <v>593</v>
      </c>
      <c r="K38" s="742" t="s">
        <v>1511</v>
      </c>
      <c r="L38" s="601">
        <f t="shared" si="4"/>
        <v>0</v>
      </c>
      <c r="O38" s="609"/>
      <c r="P38" s="324"/>
      <c r="Q38" s="591"/>
      <c r="X38" s="598"/>
      <c r="Y38" s="598"/>
    </row>
    <row r="39" spans="1:25" s="737" customFormat="1" ht="66" customHeight="1" x14ac:dyDescent="0.3">
      <c r="A39" s="342">
        <f>'Unit Data from Audit Worksheet'!A44</f>
        <v>594</v>
      </c>
      <c r="B39" s="356" t="str">
        <f>'Unit Data from Audit Worksheet'!C44</f>
        <v>Statement of Activities - Business Activities</v>
      </c>
      <c r="C39" s="341" t="str">
        <f>'Unit Data from Audit Worksheet'!D44</f>
        <v>Total Transfers out    (Preference is that transfers-in  are not netted against transfers-out)</v>
      </c>
      <c r="D39" s="109"/>
      <c r="E39" s="362">
        <f>'Unit Data from Audit Worksheet'!F44</f>
        <v>0</v>
      </c>
      <c r="F39" s="355"/>
      <c r="G39" s="357"/>
      <c r="H39" s="354"/>
      <c r="I39" s="739"/>
      <c r="J39" s="353">
        <v>594</v>
      </c>
      <c r="K39" s="742" t="s">
        <v>1512</v>
      </c>
      <c r="L39" s="601">
        <f t="shared" si="4"/>
        <v>0</v>
      </c>
      <c r="O39" s="609"/>
      <c r="P39" s="324"/>
      <c r="Q39" s="591"/>
      <c r="X39" s="598"/>
      <c r="Y39" s="598"/>
    </row>
    <row r="40" spans="1:25" s="737" customFormat="1" ht="66" customHeight="1" x14ac:dyDescent="0.3">
      <c r="A40" s="342">
        <f>'Unit Data from Audit Worksheet'!A46</f>
        <v>558</v>
      </c>
      <c r="B40" s="356" t="str">
        <f>'Unit Data from Audit Worksheet'!C46</f>
        <v>Mental Health-Balance Sheet - Non GAAP</v>
      </c>
      <c r="C40" s="341" t="str">
        <f>'Unit Data from Audit Worksheet'!D46</f>
        <v xml:space="preserve">All unrestricted cash and investments.  
Exclude restricted cash and cash held by a third party. </v>
      </c>
      <c r="D40" s="109"/>
      <c r="E40" s="362">
        <f>'Unit Data from Audit Worksheet'!F46</f>
        <v>0</v>
      </c>
      <c r="F40" s="355"/>
      <c r="G40" s="357"/>
      <c r="H40" s="354"/>
      <c r="I40" s="739"/>
      <c r="J40" s="353">
        <v>558</v>
      </c>
      <c r="K40" s="738" t="s">
        <v>1513</v>
      </c>
      <c r="L40" s="601">
        <f t="shared" si="4"/>
        <v>0</v>
      </c>
      <c r="O40" s="609"/>
      <c r="P40" s="324"/>
      <c r="Q40" s="591"/>
      <c r="X40" s="598"/>
      <c r="Y40" s="598"/>
    </row>
    <row r="41" spans="1:25" s="737" customFormat="1" ht="66" customHeight="1" x14ac:dyDescent="0.3">
      <c r="A41" s="342">
        <f>'Unit Data from Audit Worksheet'!A47</f>
        <v>559</v>
      </c>
      <c r="B41" s="356" t="str">
        <f>'Unit Data from Audit Worksheet'!C47</f>
        <v>Mental Health-Balance Sheet - Non GAAP</v>
      </c>
      <c r="C41" s="341" t="str">
        <f>'Unit Data from Audit Worksheet'!D47</f>
        <v>All restricted cash and investments</v>
      </c>
      <c r="D41" s="109"/>
      <c r="E41" s="362">
        <f>'Unit Data from Audit Worksheet'!F47</f>
        <v>0</v>
      </c>
      <c r="F41" s="355"/>
      <c r="G41" s="357"/>
      <c r="H41" s="354"/>
      <c r="I41" s="739"/>
      <c r="J41" s="353">
        <v>559</v>
      </c>
      <c r="K41" s="738" t="s">
        <v>1514</v>
      </c>
      <c r="L41" s="601">
        <f t="shared" si="4"/>
        <v>0</v>
      </c>
      <c r="O41" s="609"/>
      <c r="P41" s="324"/>
      <c r="Q41" s="591"/>
      <c r="X41" s="598"/>
      <c r="Y41" s="598"/>
    </row>
    <row r="42" spans="1:25" s="737" customFormat="1" ht="124.5" customHeight="1" x14ac:dyDescent="0.3">
      <c r="A42" s="342">
        <f>'Unit Data from Audit Worksheet'!A48</f>
        <v>560</v>
      </c>
      <c r="B42" s="356" t="str">
        <f>'Unit Data from Audit Worksheet'!C48</f>
        <v>Mental Health-Balance Sheet - Non GAAP</v>
      </c>
      <c r="C42" s="341" t="str">
        <f>'Unit Data from Audit Worksheet'!D48</f>
        <v>Current Liabilities 
Exclude: all deferred inflows
                 current debt service payments
Include: Liabilities payable from restricted assets.</v>
      </c>
      <c r="D42" s="109"/>
      <c r="E42" s="362">
        <f>'Unit Data from Audit Worksheet'!F48</f>
        <v>0</v>
      </c>
      <c r="F42" s="355"/>
      <c r="G42" s="357"/>
      <c r="H42" s="354"/>
      <c r="I42" s="739"/>
      <c r="J42" s="353">
        <v>560</v>
      </c>
      <c r="K42" s="738" t="s">
        <v>1515</v>
      </c>
      <c r="L42" s="601">
        <f t="shared" si="4"/>
        <v>0</v>
      </c>
      <c r="O42" s="609"/>
      <c r="P42" s="324"/>
      <c r="Q42" s="591"/>
      <c r="X42" s="598"/>
      <c r="Y42" s="598"/>
    </row>
    <row r="43" spans="1:25" s="737" customFormat="1" ht="66" customHeight="1" x14ac:dyDescent="0.3">
      <c r="A43" s="342">
        <f>'Unit Data from Audit Worksheet'!A49</f>
        <v>561</v>
      </c>
      <c r="B43" s="356" t="str">
        <f>'Unit Data from Audit Worksheet'!C49</f>
        <v>Mental Health-Balance Sheet - Non GAAP</v>
      </c>
      <c r="C43" s="341" t="str">
        <f>'Unit Data from Audit Worksheet'!D49</f>
        <v xml:space="preserve">Mental Health Enterprise Fund Non GAAP deferred inflows or liabilities derived from cash receipts.   </v>
      </c>
      <c r="D43" s="109"/>
      <c r="E43" s="362">
        <f>'Unit Data from Audit Worksheet'!F49</f>
        <v>0</v>
      </c>
      <c r="F43" s="355"/>
      <c r="G43" s="357"/>
      <c r="H43" s="354"/>
      <c r="I43" s="739"/>
      <c r="J43" s="353">
        <v>561</v>
      </c>
      <c r="K43" s="738" t="s">
        <v>1516</v>
      </c>
      <c r="L43" s="601">
        <f t="shared" si="4"/>
        <v>0</v>
      </c>
      <c r="O43" s="609"/>
      <c r="P43" s="324"/>
      <c r="Q43" s="591"/>
      <c r="X43" s="598"/>
      <c r="Y43" s="598"/>
    </row>
    <row r="44" spans="1:25" s="737" customFormat="1" ht="137.25" customHeight="1" x14ac:dyDescent="0.3">
      <c r="A44" s="342">
        <f>'Unit Data from Audit Worksheet'!A50</f>
        <v>563</v>
      </c>
      <c r="B44" s="356" t="str">
        <f>'Unit Data from Audit Worksheet'!C50</f>
        <v>Mental Health-Balance Sheet - Non GAAP</v>
      </c>
      <c r="C44" s="341"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09"/>
      <c r="E44" s="362">
        <f>'Unit Data from Audit Worksheet'!F50</f>
        <v>0</v>
      </c>
      <c r="F44" s="355"/>
      <c r="G44" s="357"/>
      <c r="H44" s="354"/>
      <c r="I44" s="739"/>
      <c r="J44" s="353">
        <v>563</v>
      </c>
      <c r="K44" s="738" t="s">
        <v>1517</v>
      </c>
      <c r="L44" s="601">
        <f t="shared" si="4"/>
        <v>0</v>
      </c>
      <c r="O44" s="609"/>
      <c r="P44" s="324"/>
      <c r="Q44" s="591"/>
      <c r="X44" s="598"/>
      <c r="Y44" s="598"/>
    </row>
    <row r="45" spans="1:25" s="737" customFormat="1" ht="66" customHeight="1" x14ac:dyDescent="0.3">
      <c r="A45" s="342">
        <f>'Unit Data from Audit Worksheet'!A51</f>
        <v>564</v>
      </c>
      <c r="B45" s="356" t="str">
        <f>'Unit Data from Audit Worksheet'!C51</f>
        <v>Mental Health Enterprise Fund Non GAAP-Rev, Exp. Change in Fund Balance</v>
      </c>
      <c r="C45" s="341" t="str">
        <f>'Unit Data from Audit Worksheet'!D51</f>
        <v>Total expenditures  
Exclude: expenditures in the ""other financing sources (uses)"" section.</v>
      </c>
      <c r="D45" s="109"/>
      <c r="E45" s="362">
        <f>'Unit Data from Audit Worksheet'!F51</f>
        <v>0</v>
      </c>
      <c r="F45" s="355"/>
      <c r="G45" s="357"/>
      <c r="H45" s="354"/>
      <c r="I45" s="739"/>
      <c r="J45" s="353">
        <v>564</v>
      </c>
      <c r="K45" s="738" t="s">
        <v>1518</v>
      </c>
      <c r="L45" s="601">
        <f t="shared" si="4"/>
        <v>0</v>
      </c>
      <c r="O45" s="609"/>
      <c r="P45" s="324"/>
      <c r="Q45" s="591"/>
      <c r="X45" s="598"/>
      <c r="Y45" s="598"/>
    </row>
    <row r="46" spans="1:25" s="737" customFormat="1" ht="66" customHeight="1" x14ac:dyDescent="0.3">
      <c r="A46" s="342">
        <f>'Unit Data from Audit Worksheet'!A52</f>
        <v>568</v>
      </c>
      <c r="B46" s="356" t="str">
        <f>'Unit Data from Audit Worksheet'!C52</f>
        <v>Mental Health Enterprise Fund Non GAAP-Rev, Exp. Change in Fund Balance</v>
      </c>
      <c r="C46" s="341" t="str">
        <f>'Unit Data from Audit Worksheet'!D52</f>
        <v>Total Proceeds from all long-term debt issuances 
Exclude: proceeds from refundings</v>
      </c>
      <c r="D46" s="109"/>
      <c r="E46" s="362">
        <f>'Unit Data from Audit Worksheet'!F52</f>
        <v>0</v>
      </c>
      <c r="F46" s="355"/>
      <c r="G46" s="357"/>
      <c r="H46" s="354"/>
      <c r="I46" s="739"/>
      <c r="J46" s="353">
        <v>568</v>
      </c>
      <c r="K46" s="738" t="s">
        <v>1519</v>
      </c>
      <c r="L46" s="601">
        <f t="shared" si="4"/>
        <v>0</v>
      </c>
      <c r="O46" s="609"/>
      <c r="P46" s="324"/>
      <c r="Q46" s="591"/>
      <c r="X46" s="598"/>
      <c r="Y46" s="598"/>
    </row>
    <row r="47" spans="1:25" s="741" customFormat="1" ht="66" customHeight="1" x14ac:dyDescent="0.3">
      <c r="A47" s="342">
        <f>'Unit Data from Audit Worksheet'!A53</f>
        <v>565</v>
      </c>
      <c r="B47" s="356" t="str">
        <f>'Unit Data from Audit Worksheet'!C53</f>
        <v>Mental Health Enterprise Fund Non GAAP-Rev, Exp. Change in Fund Balance</v>
      </c>
      <c r="C47" s="341" t="str">
        <f>'Unit Data from Audit Worksheet'!D53</f>
        <v>Debt Refunding - Net refunding proceeds against debt payoff and if negative place results on this line.</v>
      </c>
      <c r="D47" s="109"/>
      <c r="E47" s="362">
        <f>'Unit Data from Audit Worksheet'!F53</f>
        <v>0</v>
      </c>
      <c r="F47" s="355"/>
      <c r="G47" s="357"/>
      <c r="H47" s="354"/>
      <c r="I47" s="743"/>
      <c r="J47" s="353">
        <v>565</v>
      </c>
      <c r="K47" s="738" t="s">
        <v>1653</v>
      </c>
      <c r="L47" s="601">
        <f t="shared" si="4"/>
        <v>0</v>
      </c>
      <c r="O47" s="609"/>
      <c r="P47" s="324"/>
      <c r="Q47" s="591"/>
      <c r="X47" s="598"/>
      <c r="Y47" s="598"/>
    </row>
    <row r="48" spans="1:25" s="737" customFormat="1" ht="66" customHeight="1" x14ac:dyDescent="0.3">
      <c r="A48" s="342">
        <f>'Unit Data from Audit Worksheet'!A54</f>
        <v>566</v>
      </c>
      <c r="B48" s="356" t="str">
        <f>'Unit Data from Audit Worksheet'!C54</f>
        <v>Mental Health Enterprise Fund Non GAAP-Rev, Exp. Change in Fund Balance</v>
      </c>
      <c r="C48" s="341" t="str">
        <f>'Unit Data from Audit Worksheet'!D54</f>
        <v>Debt Refunding - Net refunding proceeds against debt payoff and if positive place results on this line.</v>
      </c>
      <c r="D48" s="109"/>
      <c r="E48" s="362">
        <f>'Unit Data from Audit Worksheet'!F54</f>
        <v>0</v>
      </c>
      <c r="F48" s="355"/>
      <c r="G48" s="357"/>
      <c r="H48" s="354"/>
      <c r="I48" s="739"/>
      <c r="J48" s="353">
        <v>566</v>
      </c>
      <c r="K48" s="738" t="s">
        <v>1520</v>
      </c>
      <c r="L48" s="601">
        <f t="shared" si="4"/>
        <v>0</v>
      </c>
      <c r="O48" s="609"/>
      <c r="P48" s="324"/>
      <c r="Q48" s="591"/>
      <c r="X48" s="598"/>
      <c r="Y48" s="598"/>
    </row>
    <row r="49" spans="1:25" s="737" customFormat="1" ht="66" customHeight="1" x14ac:dyDescent="0.3">
      <c r="A49" s="342">
        <f>'Unit Data from Audit Worksheet'!A55</f>
        <v>567</v>
      </c>
      <c r="B49" s="356" t="str">
        <f>'Unit Data from Audit Worksheet'!C55</f>
        <v>Mental Health Enterprise Fund Non GAAP-Rev, Exp. Change in Fund Balance</v>
      </c>
      <c r="C49" s="341" t="str">
        <f>'Unit Data from Audit Worksheet'!D55</f>
        <v>Total Transfers out    (Preference is that transfers-in  are not netted against transfers-out)</v>
      </c>
      <c r="D49" s="109"/>
      <c r="E49" s="362">
        <f>'Unit Data from Audit Worksheet'!F55</f>
        <v>0</v>
      </c>
      <c r="F49" s="355"/>
      <c r="G49" s="357"/>
      <c r="H49" s="354"/>
      <c r="I49" s="739"/>
      <c r="J49" s="353">
        <v>567</v>
      </c>
      <c r="K49" s="738" t="s">
        <v>1521</v>
      </c>
      <c r="L49" s="601">
        <f t="shared" si="4"/>
        <v>0</v>
      </c>
      <c r="O49" s="609"/>
      <c r="P49" s="324"/>
      <c r="Q49" s="591"/>
      <c r="X49" s="598"/>
      <c r="Y49" s="598"/>
    </row>
    <row r="50" spans="1:25" s="737" customFormat="1" ht="66" customHeight="1" x14ac:dyDescent="0.3">
      <c r="A50" s="342">
        <f>'Unit Data from Audit Worksheet'!A56</f>
        <v>562</v>
      </c>
      <c r="B50" s="356" t="str">
        <f>'Unit Data from Audit Worksheet'!C56</f>
        <v>Notes</v>
      </c>
      <c r="C50" s="341" t="str">
        <f>'Unit Data from Audit Worksheet'!D56</f>
        <v>Mental Health Enterprise Fund Non GAAP -  Total Encumbrances.  You will have to refer to the note disclosure where the amount of encumbrances is listed.</v>
      </c>
      <c r="D50" s="109"/>
      <c r="E50" s="362">
        <f>'Unit Data from Audit Worksheet'!F56</f>
        <v>0</v>
      </c>
      <c r="F50" s="355"/>
      <c r="G50" s="357"/>
      <c r="H50" s="354"/>
      <c r="I50" s="739"/>
      <c r="J50" s="353">
        <v>562</v>
      </c>
      <c r="K50" s="738" t="s">
        <v>1522</v>
      </c>
      <c r="L50" s="601">
        <f t="shared" si="4"/>
        <v>0</v>
      </c>
      <c r="O50" s="609"/>
      <c r="P50" s="324"/>
      <c r="Q50" s="591"/>
      <c r="X50" s="598"/>
      <c r="Y50" s="598"/>
    </row>
    <row r="51" spans="1:25" s="737" customFormat="1" ht="66" customHeight="1" x14ac:dyDescent="0.3">
      <c r="A51" s="342">
        <f>'Unit Data from Audit Worksheet'!A57</f>
        <v>569</v>
      </c>
      <c r="B51" s="356" t="str">
        <f>'Unit Data from Audit Worksheet'!C57</f>
        <v>Notes</v>
      </c>
      <c r="C51" s="341" t="str">
        <f>'Unit Data from Audit Worksheet'!D57</f>
        <v>Please enter the principal and interest due next fiscal year on existing borrowings.</v>
      </c>
      <c r="D51" s="109"/>
      <c r="E51" s="362">
        <f>'Unit Data from Audit Worksheet'!F57</f>
        <v>0</v>
      </c>
      <c r="F51" s="355"/>
      <c r="G51" s="357"/>
      <c r="H51" s="354"/>
      <c r="I51" s="739"/>
      <c r="J51" s="353">
        <v>569</v>
      </c>
      <c r="K51" s="738" t="s">
        <v>1523</v>
      </c>
      <c r="L51" s="601">
        <f t="shared" si="4"/>
        <v>0</v>
      </c>
      <c r="O51" s="609"/>
      <c r="P51" s="324"/>
      <c r="Q51" s="591"/>
      <c r="X51" s="598"/>
      <c r="Y51" s="598"/>
    </row>
    <row r="52" spans="1:25" ht="54" customHeight="1" x14ac:dyDescent="0.3">
      <c r="A52" s="342">
        <f>'Unit Data from Audit Worksheet'!A59</f>
        <v>506</v>
      </c>
      <c r="B52" s="53" t="str">
        <f>'Unit Data from Audit Worksheet'!C59</f>
        <v>General Fund-Balance Sheet</v>
      </c>
      <c r="C52" s="611" t="str">
        <f>'Unit Data from Audit Worksheet'!D59</f>
        <v xml:space="preserve">All unrestricted cash and investments.  
Exclude restricted cash and cash held by a third party. </v>
      </c>
      <c r="D52" s="109"/>
      <c r="E52" s="153">
        <f>'Unit Data from Audit Worksheet'!F59</f>
        <v>0</v>
      </c>
      <c r="F52" s="37">
        <f>IF(L52&lt;0,"Error: Number is normally positive.",)</f>
        <v>0</v>
      </c>
      <c r="G52" s="73"/>
      <c r="H52" s="354">
        <f>'Unit Data from Audit Worksheet'!I59</f>
        <v>0</v>
      </c>
      <c r="I52" s="38"/>
      <c r="J52" s="41">
        <v>506</v>
      </c>
      <c r="K52" s="352" t="s">
        <v>198</v>
      </c>
      <c r="L52" s="612">
        <f t="shared" ref="L52:L65" si="7">IF(D52="",E52,D52)</f>
        <v>0</v>
      </c>
      <c r="P52" s="324"/>
      <c r="W52" s="3" t="b">
        <f t="shared" si="6"/>
        <v>1</v>
      </c>
      <c r="X52" s="598">
        <f t="shared" si="1"/>
        <v>0</v>
      </c>
      <c r="Y52" s="598">
        <f t="shared" si="2"/>
        <v>0</v>
      </c>
    </row>
    <row r="53" spans="1:25" ht="45.75" customHeight="1" x14ac:dyDescent="0.3">
      <c r="A53" s="342">
        <f>'Unit Data from Audit Worksheet'!A60</f>
        <v>536</v>
      </c>
      <c r="B53" s="53" t="str">
        <f>'Unit Data from Audit Worksheet'!C60</f>
        <v>General Fund-Balance Sheet</v>
      </c>
      <c r="C53" s="611" t="str">
        <f>'Unit Data from Audit Worksheet'!D60</f>
        <v>All restricted cash and investments</v>
      </c>
      <c r="D53" s="109"/>
      <c r="E53" s="153">
        <f>'Unit Data from Audit Worksheet'!F60</f>
        <v>0</v>
      </c>
      <c r="F53" s="37">
        <f>IF(L53&lt;0,"Error: Number is normally positive.",)</f>
        <v>0</v>
      </c>
      <c r="G53" s="73"/>
      <c r="H53" s="354">
        <f>'Unit Data from Audit Worksheet'!I60</f>
        <v>0</v>
      </c>
      <c r="I53" s="38"/>
      <c r="J53" s="41">
        <v>536</v>
      </c>
      <c r="K53" s="352" t="s">
        <v>199</v>
      </c>
      <c r="L53" s="612">
        <f t="shared" si="7"/>
        <v>0</v>
      </c>
      <c r="P53" s="324"/>
      <c r="W53" s="3" t="b">
        <f t="shared" si="6"/>
        <v>1</v>
      </c>
      <c r="X53" s="598">
        <f t="shared" si="1"/>
        <v>0</v>
      </c>
      <c r="Y53" s="598">
        <f t="shared" si="2"/>
        <v>0</v>
      </c>
    </row>
    <row r="54" spans="1:25" ht="56.25" customHeight="1" x14ac:dyDescent="0.3">
      <c r="A54" s="342">
        <f>'Unit Data from Audit Worksheet'!A61</f>
        <v>586</v>
      </c>
      <c r="B54" s="356" t="str">
        <f>'Unit Data from Audit Worksheet'!C61</f>
        <v>General Fund-Balance Sheet</v>
      </c>
      <c r="C54" s="341" t="str">
        <f>'Unit Data from Audit Worksheet'!D61</f>
        <v>Advance To: Interfund loan receivable-portion of repayment plan longer than 12 months</v>
      </c>
      <c r="D54" s="143"/>
      <c r="E54" s="362">
        <f>'Unit Data from Audit Worksheet'!F61</f>
        <v>0</v>
      </c>
      <c r="F54" s="355"/>
      <c r="G54" s="357"/>
      <c r="H54" s="354"/>
      <c r="I54" s="38"/>
      <c r="J54" s="353">
        <v>586</v>
      </c>
      <c r="K54" s="341" t="s">
        <v>562</v>
      </c>
      <c r="L54" s="601">
        <f t="shared" si="7"/>
        <v>0</v>
      </c>
      <c r="P54" s="324"/>
      <c r="W54" s="3" t="b">
        <f t="shared" si="6"/>
        <v>1</v>
      </c>
      <c r="X54" s="598">
        <f t="shared" si="1"/>
        <v>0</v>
      </c>
      <c r="Y54" s="598">
        <f t="shared" si="2"/>
        <v>0</v>
      </c>
    </row>
    <row r="55" spans="1:25" ht="28.8" x14ac:dyDescent="0.3">
      <c r="A55" s="342">
        <f>'Unit Data from Audit Worksheet'!A62</f>
        <v>379</v>
      </c>
      <c r="B55" s="356" t="str">
        <f>'Unit Data from Audit Worksheet'!C62</f>
        <v>General Fund-Balance Sheet</v>
      </c>
      <c r="C55" s="341" t="str">
        <f>'Unit Data from Audit Worksheet'!D62</f>
        <v>Total Assets and deferred outflows</v>
      </c>
      <c r="D55" s="143"/>
      <c r="E55" s="362">
        <f>'Unit Data from Audit Worksheet'!F62</f>
        <v>0</v>
      </c>
      <c r="F55" s="84">
        <f>IF((L52+L53)&gt;L55,"Error: Please review accts (506+536)&gt;379",)</f>
        <v>0</v>
      </c>
      <c r="G55" s="357" t="str">
        <f>IF(Q55=1," Included in error count"," ")</f>
        <v xml:space="preserve"> </v>
      </c>
      <c r="H55" s="354">
        <f>'Unit Data from Audit Worksheet'!I62</f>
        <v>0</v>
      </c>
      <c r="I55" s="38"/>
      <c r="J55" s="353">
        <v>379</v>
      </c>
      <c r="K55" s="352" t="s">
        <v>118</v>
      </c>
      <c r="L55" s="601">
        <f t="shared" si="7"/>
        <v>0</v>
      </c>
      <c r="P55" s="324"/>
      <c r="Q55" s="591">
        <f>IF(L52+L53&gt;L55,1,0)</f>
        <v>0</v>
      </c>
      <c r="W55" s="3" t="b">
        <f t="shared" si="6"/>
        <v>1</v>
      </c>
      <c r="X55" s="598">
        <f t="shared" si="1"/>
        <v>0</v>
      </c>
      <c r="Y55" s="598">
        <f t="shared" si="2"/>
        <v>0</v>
      </c>
    </row>
    <row r="56" spans="1:25" ht="106.5" customHeight="1" x14ac:dyDescent="0.3">
      <c r="A56" s="342">
        <f>'Unit Data from Audit Worksheet'!A63</f>
        <v>368</v>
      </c>
      <c r="B56" s="356" t="str">
        <f>'Unit Data from Audit Worksheet'!C63</f>
        <v>General Fund-Balance Sheet</v>
      </c>
      <c r="C56" s="341" t="str">
        <f>'Unit Data from Audit Worksheet'!D63</f>
        <v>Total Liabilities payable from restricted assets (only complete if this is listed in your financial statements for the general fund and the auditor has listed the cash to be used to pay the liabilities as restricted)</v>
      </c>
      <c r="D56" s="143"/>
      <c r="E56" s="362">
        <f>'Unit Data from Audit Worksheet'!F63</f>
        <v>0</v>
      </c>
      <c r="F56" s="355">
        <f>IF(L56&lt;0,"Error: Enter as a positive.",)</f>
        <v>0</v>
      </c>
      <c r="G56" s="357"/>
      <c r="H56" s="354">
        <f>'Unit Data from Audit Worksheet'!I63</f>
        <v>0</v>
      </c>
      <c r="I56" s="38"/>
      <c r="J56" s="353">
        <v>368</v>
      </c>
      <c r="K56" s="352" t="s">
        <v>200</v>
      </c>
      <c r="L56" s="601">
        <f t="shared" si="7"/>
        <v>0</v>
      </c>
      <c r="P56" s="324"/>
      <c r="W56" s="3" t="b">
        <f t="shared" si="6"/>
        <v>1</v>
      </c>
      <c r="X56" s="598">
        <f t="shared" si="1"/>
        <v>0</v>
      </c>
      <c r="Y56" s="598">
        <f t="shared" si="2"/>
        <v>0</v>
      </c>
    </row>
    <row r="57" spans="1:25" ht="90.75" customHeight="1" x14ac:dyDescent="0.3">
      <c r="A57" s="342">
        <f>'Unit Data from Audit Worksheet'!A64</f>
        <v>4</v>
      </c>
      <c r="B57" s="53" t="str">
        <f>'Unit Data from Audit Worksheet'!C64</f>
        <v>General Fund-Balance Sheet</v>
      </c>
      <c r="C57" s="611" t="str">
        <f>'Unit Data from Audit Worksheet'!D64</f>
        <v>Current Liabilities (as reported on the Balance Sheet)
Exclude all deferred inflows. 
Include advance from(long-term portion of interfund loans)</v>
      </c>
      <c r="D57" s="143"/>
      <c r="E57" s="153">
        <f>'Unit Data from Audit Worksheet'!F64</f>
        <v>0</v>
      </c>
      <c r="F57" s="37">
        <f t="shared" ref="F57:F66" si="8">IF(L57&lt;0,"Error: Enter as a positive.",)</f>
        <v>0</v>
      </c>
      <c r="G57" s="73"/>
      <c r="H57" s="354">
        <f>'Unit Data from Audit Worksheet'!I64</f>
        <v>0</v>
      </c>
      <c r="I57" s="38"/>
      <c r="J57" s="41">
        <v>4</v>
      </c>
      <c r="K57" s="352" t="s">
        <v>119</v>
      </c>
      <c r="L57" s="612">
        <f t="shared" si="7"/>
        <v>0</v>
      </c>
      <c r="P57" s="324"/>
      <c r="W57" s="3" t="b">
        <f t="shared" si="6"/>
        <v>1</v>
      </c>
      <c r="X57" s="598">
        <f t="shared" si="1"/>
        <v>0</v>
      </c>
      <c r="Y57" s="598">
        <f t="shared" si="2"/>
        <v>0</v>
      </c>
    </row>
    <row r="58" spans="1:25" ht="131.25" customHeight="1" x14ac:dyDescent="0.3">
      <c r="A58" s="342">
        <f>'Unit Data from Audit Worksheet'!A65</f>
        <v>5</v>
      </c>
      <c r="B58" s="53" t="str">
        <f>'Unit Data from Audit Worksheet'!C65</f>
        <v>General Fund-Balance Sheet</v>
      </c>
      <c r="C58" s="611"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3"/>
      <c r="E58" s="153">
        <f>'Unit Data from Audit Worksheet'!F65</f>
        <v>0</v>
      </c>
      <c r="F58" s="37">
        <f t="shared" si="8"/>
        <v>0</v>
      </c>
      <c r="G58" s="73"/>
      <c r="H58" s="354">
        <f>'Unit Data from Audit Worksheet'!I65</f>
        <v>0</v>
      </c>
      <c r="I58" s="38"/>
      <c r="J58" s="41">
        <v>5</v>
      </c>
      <c r="K58" s="352" t="s">
        <v>120</v>
      </c>
      <c r="L58" s="612">
        <f t="shared" si="7"/>
        <v>0</v>
      </c>
      <c r="P58" s="324"/>
      <c r="W58" s="3" t="b">
        <f t="shared" si="6"/>
        <v>1</v>
      </c>
      <c r="X58" s="598">
        <f t="shared" si="1"/>
        <v>0</v>
      </c>
      <c r="Y58" s="598">
        <f t="shared" si="2"/>
        <v>0</v>
      </c>
    </row>
    <row r="59" spans="1:25" ht="104.25" customHeight="1" x14ac:dyDescent="0.3">
      <c r="A59" s="342">
        <f>'Unit Data from Audit Worksheet'!A66</f>
        <v>380</v>
      </c>
      <c r="B59" s="356" t="str">
        <f>'Unit Data from Audit Worksheet'!C66</f>
        <v>General Fund-Balance Sheet</v>
      </c>
      <c r="C59" s="341" t="str">
        <f>'Unit Data from Audit Worksheet'!D66</f>
        <v>Total Deferred inflows not derived from cash receipts.  Deferred inflows on the face of the statements can include cash and non-cash.  You may have to refer to the note disclosure where the cash and non-cash is broken out.</v>
      </c>
      <c r="D59" s="143"/>
      <c r="E59" s="362">
        <f>'Unit Data from Audit Worksheet'!F66</f>
        <v>0</v>
      </c>
      <c r="F59" s="355">
        <f t="shared" si="8"/>
        <v>0</v>
      </c>
      <c r="G59" s="357"/>
      <c r="H59" s="354">
        <f>'Unit Data from Audit Worksheet'!I66</f>
        <v>0</v>
      </c>
      <c r="I59" s="38"/>
      <c r="J59" s="353">
        <v>380</v>
      </c>
      <c r="K59" s="352" t="s">
        <v>121</v>
      </c>
      <c r="L59" s="601">
        <f t="shared" si="7"/>
        <v>0</v>
      </c>
      <c r="P59" s="324"/>
      <c r="W59" s="3" t="b">
        <f t="shared" si="6"/>
        <v>1</v>
      </c>
      <c r="X59" s="598">
        <f t="shared" si="1"/>
        <v>0</v>
      </c>
      <c r="Y59" s="598">
        <f t="shared" si="2"/>
        <v>0</v>
      </c>
    </row>
    <row r="60" spans="1:25" ht="41.25" customHeight="1" x14ac:dyDescent="0.3">
      <c r="A60" s="342">
        <f>'Unit Data from Audit Worksheet'!A67</f>
        <v>391</v>
      </c>
      <c r="B60" s="356" t="str">
        <f>'Unit Data from Audit Worksheet'!C67</f>
        <v>General Fund-Balance Sheet</v>
      </c>
      <c r="C60" s="341" t="str">
        <f>'Unit Data from Audit Worksheet'!D67</f>
        <v xml:space="preserve">Fund balance, Restricted for Stabilization by State Statute </v>
      </c>
      <c r="D60" s="143"/>
      <c r="E60" s="362">
        <f>'Unit Data from Audit Worksheet'!F67</f>
        <v>0</v>
      </c>
      <c r="F60" s="355">
        <f t="shared" si="8"/>
        <v>0</v>
      </c>
      <c r="G60" s="357"/>
      <c r="H60" s="354">
        <f>'Unit Data from Audit Worksheet'!I67</f>
        <v>0</v>
      </c>
      <c r="I60" s="38"/>
      <c r="J60" s="353">
        <v>391</v>
      </c>
      <c r="K60" s="352" t="s">
        <v>201</v>
      </c>
      <c r="L60" s="601">
        <f t="shared" si="7"/>
        <v>0</v>
      </c>
      <c r="P60" s="324"/>
      <c r="W60" s="3" t="b">
        <f t="shared" si="6"/>
        <v>1</v>
      </c>
      <c r="X60" s="598">
        <f t="shared" si="1"/>
        <v>0</v>
      </c>
      <c r="Y60" s="598">
        <f t="shared" si="2"/>
        <v>0</v>
      </c>
    </row>
    <row r="61" spans="1:25" ht="28.8" x14ac:dyDescent="0.3">
      <c r="A61" s="342">
        <f>'Unit Data from Audit Worksheet'!A68</f>
        <v>7</v>
      </c>
      <c r="B61" s="53" t="str">
        <f>'Unit Data from Audit Worksheet'!C68</f>
        <v>General Fund-Balance Sheet</v>
      </c>
      <c r="C61" s="611" t="str">
        <f>'Unit Data from Audit Worksheet'!D68</f>
        <v>Fund balance, Nonspendable-  inventory/prepaids/etc.</v>
      </c>
      <c r="D61" s="143"/>
      <c r="E61" s="153">
        <f>'Unit Data from Audit Worksheet'!F68</f>
        <v>0</v>
      </c>
      <c r="F61" s="37">
        <f t="shared" si="8"/>
        <v>0</v>
      </c>
      <c r="G61" s="73"/>
      <c r="H61" s="354">
        <f>'Unit Data from Audit Worksheet'!I68</f>
        <v>0</v>
      </c>
      <c r="I61" s="38"/>
      <c r="J61" s="41">
        <v>7</v>
      </c>
      <c r="K61" s="352" t="s">
        <v>202</v>
      </c>
      <c r="L61" s="612">
        <f t="shared" si="7"/>
        <v>0</v>
      </c>
      <c r="P61" s="324"/>
      <c r="W61" s="3" t="b">
        <f t="shared" si="6"/>
        <v>1</v>
      </c>
      <c r="X61" s="598">
        <f t="shared" si="1"/>
        <v>0</v>
      </c>
      <c r="Y61" s="598">
        <f t="shared" si="2"/>
        <v>0</v>
      </c>
    </row>
    <row r="62" spans="1:25" ht="89.25" customHeight="1" x14ac:dyDescent="0.3">
      <c r="A62" s="613">
        <f>'Unit Data from Audit Worksheet'!A69</f>
        <v>11</v>
      </c>
      <c r="B62" s="116" t="str">
        <f>'Unit Data from Audit Worksheet'!C69</f>
        <v>General Fund-Balance Sheet</v>
      </c>
      <c r="C62" s="603" t="str">
        <f>'Unit Data from Audit Worksheet'!D69</f>
        <v>Fund balance, Restricted for Streets (unspent Powell Bill balance).  You may have to refer to the note disclosure where restricted fund balance is described.</v>
      </c>
      <c r="D62" s="109"/>
      <c r="E62" s="154">
        <f>'Unit Data from Audit Worksheet'!F69</f>
        <v>0</v>
      </c>
      <c r="F62" s="110">
        <f t="shared" si="8"/>
        <v>0</v>
      </c>
      <c r="G62" s="111"/>
      <c r="H62" s="112">
        <f>'Unit Data from Audit Worksheet'!I69</f>
        <v>0</v>
      </c>
      <c r="I62" s="38"/>
      <c r="J62" s="104">
        <v>11</v>
      </c>
      <c r="K62" s="44" t="s">
        <v>203</v>
      </c>
      <c r="L62" s="601">
        <f t="shared" si="7"/>
        <v>0</v>
      </c>
      <c r="P62" s="325"/>
      <c r="W62" s="3" t="b">
        <f t="shared" si="6"/>
        <v>1</v>
      </c>
      <c r="X62" s="598">
        <f t="shared" si="1"/>
        <v>0</v>
      </c>
      <c r="Y62" s="598">
        <f t="shared" si="2"/>
        <v>0</v>
      </c>
    </row>
    <row r="63" spans="1:25" s="18" customFormat="1" ht="48.75" customHeight="1" x14ac:dyDescent="0.3">
      <c r="A63" s="315">
        <f>'Unit Data from Audit Worksheet'!A70</f>
        <v>645</v>
      </c>
      <c r="B63" s="369" t="str">
        <f>'Unit Data from Audit Worksheet'!C70</f>
        <v>General Fund-Balance Sheet</v>
      </c>
      <c r="C63" s="315" t="str">
        <f>'Unit Data from Audit Worksheet'!D70</f>
        <v>Fund balance, Assigned (total of all assigned components)</v>
      </c>
      <c r="D63" s="115"/>
      <c r="E63" s="368">
        <f>'Unit Data from Audit Worksheet'!F70</f>
        <v>0</v>
      </c>
      <c r="F63" s="350">
        <f>IF(L63&lt;0,"Error: Enter as a positive.",)</f>
        <v>0</v>
      </c>
      <c r="G63" s="335"/>
      <c r="H63" s="350">
        <f>'Unit Data from Audit Worksheet'!I70</f>
        <v>0</v>
      </c>
      <c r="I63" s="614"/>
      <c r="J63" s="349">
        <v>645</v>
      </c>
      <c r="K63" s="315" t="s">
        <v>754</v>
      </c>
      <c r="L63" s="615">
        <f t="shared" si="7"/>
        <v>0</v>
      </c>
      <c r="M63" s="605"/>
      <c r="N63" s="605"/>
      <c r="O63" s="605"/>
      <c r="P63" s="326"/>
      <c r="Q63" s="606"/>
      <c r="R63" s="3"/>
      <c r="S63" s="605"/>
      <c r="T63" s="605"/>
      <c r="U63" s="605"/>
      <c r="V63" s="605"/>
      <c r="W63" s="18" t="b">
        <f t="shared" si="6"/>
        <v>1</v>
      </c>
      <c r="X63" s="607">
        <f t="shared" si="1"/>
        <v>0</v>
      </c>
      <c r="Y63" s="607">
        <f t="shared" si="2"/>
        <v>0</v>
      </c>
    </row>
    <row r="64" spans="1:25" s="18" customFormat="1" ht="45.75" customHeight="1" x14ac:dyDescent="0.3">
      <c r="A64" s="315">
        <f>'Unit Data from Audit Worksheet'!A71</f>
        <v>646</v>
      </c>
      <c r="B64" s="369" t="str">
        <f>'Unit Data from Audit Worksheet'!C71</f>
        <v>General Fund-Balance Sheet</v>
      </c>
      <c r="C64" s="315" t="str">
        <f>'Unit Data from Audit Worksheet'!D71</f>
        <v>Fund Balance, Unassigned</v>
      </c>
      <c r="D64" s="115"/>
      <c r="E64" s="368">
        <f>'Unit Data from Audit Worksheet'!F71</f>
        <v>0</v>
      </c>
      <c r="F64" s="350">
        <f>IF(L64&lt;0,"Error: Enter as a positive.",)</f>
        <v>0</v>
      </c>
      <c r="G64" s="335"/>
      <c r="H64" s="350">
        <f>'Unit Data from Audit Worksheet'!I71</f>
        <v>0</v>
      </c>
      <c r="I64" s="614"/>
      <c r="J64" s="349">
        <v>646</v>
      </c>
      <c r="K64" s="315" t="s">
        <v>755</v>
      </c>
      <c r="L64" s="615">
        <f t="shared" si="7"/>
        <v>0</v>
      </c>
      <c r="M64" s="605"/>
      <c r="N64" s="605"/>
      <c r="O64" s="605"/>
      <c r="P64" s="326"/>
      <c r="Q64" s="606"/>
      <c r="R64" s="3"/>
      <c r="S64" s="605"/>
      <c r="T64" s="605"/>
      <c r="U64" s="605"/>
      <c r="V64" s="605"/>
      <c r="W64" s="18" t="b">
        <f t="shared" si="6"/>
        <v>1</v>
      </c>
      <c r="X64" s="607">
        <f t="shared" si="1"/>
        <v>0</v>
      </c>
      <c r="Y64" s="607">
        <f t="shared" si="2"/>
        <v>0</v>
      </c>
    </row>
    <row r="65" spans="1:27" ht="55.5" customHeight="1" x14ac:dyDescent="0.3">
      <c r="A65" s="599">
        <f>'Unit Data from Audit Worksheet'!A72</f>
        <v>9</v>
      </c>
      <c r="B65" s="117" t="str">
        <f>'Unit Data from Audit Worksheet'!C72</f>
        <v>General Fund-Balance Sheet</v>
      </c>
      <c r="C65" s="616" t="str">
        <f>'Unit Data from Audit Worksheet'!D72</f>
        <v>Total Fund balance (enter fund deficits as negative)</v>
      </c>
      <c r="D65" s="143"/>
      <c r="E65" s="152">
        <f>'Unit Data from Audit Worksheet'!F72</f>
        <v>0</v>
      </c>
      <c r="F65" s="118">
        <f>IF(L55-L57-L58-L59-L65=0,,"Error: Total assets less total liabilities do not equal Acct +379-4-5-380-9=0")</f>
        <v>0</v>
      </c>
      <c r="G65" s="119">
        <f>L55-L57-L58-L59-L65</f>
        <v>0</v>
      </c>
      <c r="H65" s="354">
        <f>'Unit Data from Audit Worksheet'!I72</f>
        <v>0</v>
      </c>
      <c r="I65" s="38"/>
      <c r="J65" s="120">
        <v>9</v>
      </c>
      <c r="K65" s="51" t="s">
        <v>204</v>
      </c>
      <c r="L65" s="612">
        <f t="shared" si="7"/>
        <v>0</v>
      </c>
      <c r="O65" s="609" t="e">
        <f>'Unit Data from Audit Worksheet'!E72</f>
        <v>#N/A</v>
      </c>
      <c r="P65" s="323"/>
      <c r="Q65" s="591">
        <f>IF(G65&lt;&gt;0,1,0)</f>
        <v>0</v>
      </c>
      <c r="W65" s="3" t="b">
        <f t="shared" si="6"/>
        <v>1</v>
      </c>
      <c r="X65" s="598">
        <f t="shared" si="1"/>
        <v>0</v>
      </c>
      <c r="Y65" s="598">
        <f t="shared" si="2"/>
        <v>0</v>
      </c>
    </row>
    <row r="66" spans="1:27" s="18" customFormat="1" ht="73.5" customHeight="1" x14ac:dyDescent="0.3">
      <c r="A66" s="342">
        <f>'Unit Data from Audit Worksheet'!A73</f>
        <v>540</v>
      </c>
      <c r="B66" s="356" t="str">
        <f>'Unit Data from Audit Worksheet'!C73</f>
        <v>General Fund - Budget Actual Statement</v>
      </c>
      <c r="C66" s="341" t="str">
        <f>'Unit Data from Audit Worksheet'!D73</f>
        <v>Amount of the General Fund Balance appropriated in next year's budget. As reported on the General Fund Balance Sheet.</v>
      </c>
      <c r="D66" s="143"/>
      <c r="E66" s="362">
        <f>'Unit Data from Audit Worksheet'!F73</f>
        <v>0</v>
      </c>
      <c r="F66" s="355">
        <f t="shared" si="8"/>
        <v>0</v>
      </c>
      <c r="G66" s="357"/>
      <c r="H66" s="354">
        <f>'Unit Data from Audit Worksheet'!I73</f>
        <v>0</v>
      </c>
      <c r="I66" s="38"/>
      <c r="J66" s="353">
        <v>540</v>
      </c>
      <c r="K66" s="352" t="s">
        <v>267</v>
      </c>
      <c r="L66" s="601">
        <f t="shared" ref="L66:L123" si="9">IF(D66="",E66,D66)</f>
        <v>0</v>
      </c>
      <c r="P66" s="324"/>
      <c r="Q66" s="591"/>
      <c r="R66" s="3"/>
      <c r="W66" s="3" t="b">
        <f t="shared" si="6"/>
        <v>1</v>
      </c>
      <c r="X66" s="598">
        <f t="shared" si="1"/>
        <v>0</v>
      </c>
      <c r="Y66" s="598">
        <f t="shared" si="2"/>
        <v>0</v>
      </c>
      <c r="AA66" s="3"/>
    </row>
    <row r="67" spans="1:27" s="18" customFormat="1" ht="73.5" customHeight="1" x14ac:dyDescent="0.3">
      <c r="A67" s="617">
        <f>'Unit Data from Audit Worksheet'!A75</f>
        <v>984</v>
      </c>
      <c r="B67" s="360" t="str">
        <f>'Unit Data from Audit Worksheet'!C75</f>
        <v>General Fund - Budget Actual Statement</v>
      </c>
      <c r="C67" s="618" t="str">
        <f>'Unit Data from Audit Worksheet'!D75</f>
        <v>Amount of Ad valorem tax collected (including motor vehicle and prior years) reported on budget actual statement</v>
      </c>
      <c r="D67" s="143"/>
      <c r="E67" s="363">
        <f>'Unit Data from Audit Worksheet'!F75</f>
        <v>0</v>
      </c>
      <c r="F67" s="355"/>
      <c r="G67" s="357"/>
      <c r="H67" s="354"/>
      <c r="I67" s="38"/>
      <c r="J67" s="371">
        <v>984</v>
      </c>
      <c r="K67" s="125" t="s">
        <v>1205</v>
      </c>
      <c r="L67" s="619">
        <f t="shared" si="9"/>
        <v>0</v>
      </c>
      <c r="P67" s="324"/>
      <c r="Q67" s="591"/>
      <c r="R67" s="3"/>
      <c r="W67" s="3"/>
      <c r="X67" s="598"/>
      <c r="Y67" s="598"/>
      <c r="AA67" s="3"/>
    </row>
    <row r="68" spans="1:27" s="18" customFormat="1" ht="73.5" customHeight="1" x14ac:dyDescent="0.3">
      <c r="A68" s="617">
        <f>'Unit Data from Audit Worksheet'!A76</f>
        <v>985</v>
      </c>
      <c r="B68" s="360" t="str">
        <f>'Unit Data from Audit Worksheet'!C76</f>
        <v>General Fund - Budget Actual Statement</v>
      </c>
      <c r="C68" s="618" t="str">
        <f>'Unit Data from Audit Worksheet'!D76</f>
        <v>Amount of Ad valorem tax budgeted (including motor vehicle and prior years) reported on budget actual statement</v>
      </c>
      <c r="D68" s="143"/>
      <c r="E68" s="363">
        <f>'Unit Data from Audit Worksheet'!F76</f>
        <v>0</v>
      </c>
      <c r="F68" s="355"/>
      <c r="G68" s="357"/>
      <c r="H68" s="354"/>
      <c r="I68" s="38"/>
      <c r="J68" s="371">
        <v>985</v>
      </c>
      <c r="K68" s="125" t="s">
        <v>1206</v>
      </c>
      <c r="L68" s="619">
        <f t="shared" si="9"/>
        <v>0</v>
      </c>
      <c r="P68" s="324"/>
      <c r="Q68" s="591"/>
      <c r="R68" s="3"/>
      <c r="W68" s="3"/>
      <c r="X68" s="598"/>
      <c r="Y68" s="598"/>
      <c r="AA68" s="3"/>
    </row>
    <row r="69" spans="1:27" ht="73.5" customHeight="1" x14ac:dyDescent="0.3">
      <c r="A69" s="342">
        <f>'Unit Data from Audit Worksheet'!A77</f>
        <v>369</v>
      </c>
      <c r="B69" s="356" t="str">
        <f>'Unit Data from Audit Worksheet'!C77</f>
        <v>General Fund-Rev, Exp. Change in Fund Balance</v>
      </c>
      <c r="C69" s="341" t="str">
        <f>'Unit Data from Audit Worksheet'!D77</f>
        <v>Total Intergovernmental revenue 
Include restricted and unrestricted revenues</v>
      </c>
      <c r="D69" s="143"/>
      <c r="E69" s="362">
        <f>'Unit Data from Audit Worksheet'!F77</f>
        <v>0</v>
      </c>
      <c r="F69" s="355"/>
      <c r="G69" s="357"/>
      <c r="H69" s="354">
        <f>'Unit Data from Audit Worksheet'!I77</f>
        <v>0</v>
      </c>
      <c r="I69" s="38"/>
      <c r="J69" s="353">
        <v>369</v>
      </c>
      <c r="K69" s="352" t="s">
        <v>205</v>
      </c>
      <c r="L69" s="601">
        <f t="shared" si="9"/>
        <v>0</v>
      </c>
      <c r="P69" s="324"/>
      <c r="W69" s="3" t="b">
        <f t="shared" ref="W69:W132" si="10">EXACT(A69,J69)</f>
        <v>1</v>
      </c>
      <c r="X69" s="598">
        <f t="shared" si="1"/>
        <v>0</v>
      </c>
      <c r="Y69" s="598">
        <f t="shared" si="2"/>
        <v>0</v>
      </c>
    </row>
    <row r="70" spans="1:27" ht="73.5" customHeight="1" x14ac:dyDescent="0.3">
      <c r="A70" s="342">
        <f>'Unit Data from Audit Worksheet'!A78</f>
        <v>16</v>
      </c>
      <c r="B70" s="356" t="str">
        <f>'Unit Data from Audit Worksheet'!C78</f>
        <v>General Fund-Rev, Exp. Change in Fund Balance</v>
      </c>
      <c r="C70" s="341" t="str">
        <f>'Unit Data from Audit Worksheet'!D78</f>
        <v>Total revenues</v>
      </c>
      <c r="D70" s="143"/>
      <c r="E70" s="362">
        <f>'Unit Data from Audit Worksheet'!F78</f>
        <v>0</v>
      </c>
      <c r="F70" s="355"/>
      <c r="G70" s="357"/>
      <c r="H70" s="354">
        <f>'Unit Data from Audit Worksheet'!I78</f>
        <v>0</v>
      </c>
      <c r="I70" s="38"/>
      <c r="J70" s="353">
        <v>16</v>
      </c>
      <c r="K70" s="352" t="s">
        <v>206</v>
      </c>
      <c r="L70" s="601">
        <f t="shared" si="9"/>
        <v>0</v>
      </c>
      <c r="P70" s="324"/>
      <c r="W70" s="3" t="b">
        <f t="shared" si="10"/>
        <v>1</v>
      </c>
      <c r="X70" s="598">
        <f t="shared" si="1"/>
        <v>0</v>
      </c>
      <c r="Y70" s="598">
        <f t="shared" si="2"/>
        <v>0</v>
      </c>
    </row>
    <row r="71" spans="1:27" ht="73.5" customHeight="1" x14ac:dyDescent="0.3">
      <c r="A71" s="342">
        <f>'Unit Data from Audit Worksheet'!A79</f>
        <v>370</v>
      </c>
      <c r="B71" s="356" t="str">
        <f>'Unit Data from Audit Worksheet'!C79</f>
        <v>General Fund-Rev, Exp. Change in Fund Balance</v>
      </c>
      <c r="C71" s="341" t="str">
        <f>'Unit Data from Audit Worksheet'!D79</f>
        <v>Debt service expenditures. 
Include principal, interest paid, and bond/debt issuance costs on long-term debt</v>
      </c>
      <c r="D71" s="143"/>
      <c r="E71" s="362">
        <f>'Unit Data from Audit Worksheet'!F79</f>
        <v>0</v>
      </c>
      <c r="F71" s="355">
        <f t="shared" ref="F71:F77" si="11">IF(L71&lt;0,"Error: Enter as a positive.",)</f>
        <v>0</v>
      </c>
      <c r="G71" s="357"/>
      <c r="H71" s="354">
        <f>'Unit Data from Audit Worksheet'!I79</f>
        <v>0</v>
      </c>
      <c r="I71" s="38"/>
      <c r="J71" s="353">
        <v>370</v>
      </c>
      <c r="K71" s="352" t="s">
        <v>207</v>
      </c>
      <c r="L71" s="601">
        <f t="shared" si="9"/>
        <v>0</v>
      </c>
      <c r="P71" s="324"/>
      <c r="W71" s="3" t="b">
        <f t="shared" si="10"/>
        <v>1</v>
      </c>
      <c r="X71" s="598">
        <f t="shared" si="1"/>
        <v>0</v>
      </c>
      <c r="Y71" s="598">
        <f t="shared" si="2"/>
        <v>0</v>
      </c>
    </row>
    <row r="72" spans="1:27" ht="73.5" customHeight="1" x14ac:dyDescent="0.3">
      <c r="A72" s="342">
        <f>'Unit Data from Audit Worksheet'!A80</f>
        <v>532</v>
      </c>
      <c r="B72" s="356" t="str">
        <f>'Unit Data from Audit Worksheet'!C80</f>
        <v>General Fund-Rev, Exp. Change in Fund Balance</v>
      </c>
      <c r="C72" s="341" t="str">
        <f>'Unit Data from Audit Worksheet'!D80</f>
        <v xml:space="preserve">Total expenditures  
Exclude expenditures in the "other financing sources (uses)" section.
</v>
      </c>
      <c r="D72" s="143"/>
      <c r="E72" s="362">
        <f>'Unit Data from Audit Worksheet'!F80</f>
        <v>0</v>
      </c>
      <c r="F72" s="355">
        <f t="shared" si="11"/>
        <v>0</v>
      </c>
      <c r="G72" s="357"/>
      <c r="H72" s="354">
        <f>'Unit Data from Audit Worksheet'!I80</f>
        <v>0</v>
      </c>
      <c r="I72" s="38"/>
      <c r="J72" s="353">
        <v>532</v>
      </c>
      <c r="K72" s="620" t="s">
        <v>208</v>
      </c>
      <c r="L72" s="601">
        <f t="shared" si="9"/>
        <v>0</v>
      </c>
      <c r="P72" s="324"/>
      <c r="W72" s="3" t="b">
        <f t="shared" si="10"/>
        <v>1</v>
      </c>
      <c r="X72" s="598">
        <f t="shared" si="1"/>
        <v>0</v>
      </c>
      <c r="Y72" s="598">
        <f t="shared" si="2"/>
        <v>0</v>
      </c>
    </row>
    <row r="73" spans="1:27" ht="73.5" customHeight="1" x14ac:dyDescent="0.3">
      <c r="A73" s="342">
        <f>'Unit Data from Audit Worksheet'!A81</f>
        <v>17</v>
      </c>
      <c r="B73" s="356" t="str">
        <f>'Unit Data from Audit Worksheet'!C81</f>
        <v>General Fund-Rev, Exp. Change in Fund Balance</v>
      </c>
      <c r="C73" s="341" t="str">
        <f>'Unit Data from Audit Worksheet'!D81</f>
        <v>Total Transfers in    (Preference is that transfers-in  are not netted against transfers-out)</v>
      </c>
      <c r="D73" s="143"/>
      <c r="E73" s="362">
        <f>'Unit Data from Audit Worksheet'!F81</f>
        <v>0</v>
      </c>
      <c r="F73" s="355">
        <f t="shared" si="11"/>
        <v>0</v>
      </c>
      <c r="G73" s="357"/>
      <c r="H73" s="354">
        <f>'Unit Data from Audit Worksheet'!I81</f>
        <v>0</v>
      </c>
      <c r="I73" s="38"/>
      <c r="J73" s="353">
        <v>17</v>
      </c>
      <c r="K73" s="352" t="s">
        <v>209</v>
      </c>
      <c r="L73" s="601">
        <f t="shared" si="9"/>
        <v>0</v>
      </c>
      <c r="P73" s="324"/>
      <c r="W73" s="3" t="b">
        <f t="shared" si="10"/>
        <v>1</v>
      </c>
      <c r="X73" s="598">
        <f t="shared" si="1"/>
        <v>0</v>
      </c>
      <c r="Y73" s="598">
        <f t="shared" si="2"/>
        <v>0</v>
      </c>
    </row>
    <row r="74" spans="1:27" ht="54.75" customHeight="1" x14ac:dyDescent="0.3">
      <c r="A74" s="342">
        <f>'Unit Data from Audit Worksheet'!A82</f>
        <v>20</v>
      </c>
      <c r="B74" s="356" t="str">
        <f>'Unit Data from Audit Worksheet'!C82</f>
        <v>General Fund-Rev, Exp. Change in Fund Balance</v>
      </c>
      <c r="C74" s="341" t="str">
        <f>'Unit Data from Audit Worksheet'!D82</f>
        <v>Total Transfers out    (Preference is that transfers-in  are not netted against transfers-out)</v>
      </c>
      <c r="D74" s="143"/>
      <c r="E74" s="362">
        <f>'Unit Data from Audit Worksheet'!F82</f>
        <v>0</v>
      </c>
      <c r="F74" s="355">
        <f t="shared" si="11"/>
        <v>0</v>
      </c>
      <c r="G74" s="357"/>
      <c r="H74" s="354">
        <f>'Unit Data from Audit Worksheet'!I82</f>
        <v>0</v>
      </c>
      <c r="I74" s="38"/>
      <c r="J74" s="353">
        <v>20</v>
      </c>
      <c r="K74" s="352" t="s">
        <v>210</v>
      </c>
      <c r="L74" s="601">
        <f t="shared" si="9"/>
        <v>0</v>
      </c>
      <c r="P74" s="324"/>
      <c r="W74" s="3" t="b">
        <f t="shared" si="10"/>
        <v>1</v>
      </c>
      <c r="X74" s="598">
        <f t="shared" si="1"/>
        <v>0</v>
      </c>
      <c r="Y74" s="598">
        <f t="shared" si="2"/>
        <v>0</v>
      </c>
    </row>
    <row r="75" spans="1:27" ht="54.75" customHeight="1" x14ac:dyDescent="0.3">
      <c r="A75" s="342">
        <f>'Unit Data from Audit Worksheet'!A83</f>
        <v>533</v>
      </c>
      <c r="B75" s="356" t="str">
        <f>'Unit Data from Audit Worksheet'!C83</f>
        <v>General Fund-Rev, Exp. Change in Fund Balance</v>
      </c>
      <c r="C75" s="341" t="str">
        <f>'Unit Data from Audit Worksheet'!D83</f>
        <v>Total Proceeds from all long-term debt issuances 
Exclude proceeds from refundings</v>
      </c>
      <c r="D75" s="143"/>
      <c r="E75" s="362">
        <f>'Unit Data from Audit Worksheet'!F83</f>
        <v>0</v>
      </c>
      <c r="F75" s="355">
        <f t="shared" si="11"/>
        <v>0</v>
      </c>
      <c r="G75" s="357"/>
      <c r="H75" s="354">
        <f>'Unit Data from Audit Worksheet'!I83</f>
        <v>0</v>
      </c>
      <c r="I75" s="38"/>
      <c r="J75" s="353">
        <v>533</v>
      </c>
      <c r="K75" s="620" t="s">
        <v>211</v>
      </c>
      <c r="L75" s="601">
        <f t="shared" si="9"/>
        <v>0</v>
      </c>
      <c r="P75" s="324"/>
      <c r="W75" s="3" t="b">
        <f t="shared" si="10"/>
        <v>1</v>
      </c>
      <c r="X75" s="598">
        <f t="shared" si="1"/>
        <v>0</v>
      </c>
      <c r="Y75" s="598">
        <f t="shared" si="2"/>
        <v>0</v>
      </c>
    </row>
    <row r="76" spans="1:27" ht="54.75" customHeight="1" x14ac:dyDescent="0.3">
      <c r="A76" s="342">
        <f>'Unit Data from Audit Worksheet'!A84</f>
        <v>508</v>
      </c>
      <c r="B76" s="356" t="str">
        <f>'Unit Data from Audit Worksheet'!C84</f>
        <v>General Fund-Rev, Exp. Change in Fund Balance</v>
      </c>
      <c r="C76" s="341" t="str">
        <f>'Unit Data from Audit Worksheet'!D84</f>
        <v>Debt Refunding - Net refunding proceeds against debt payoff and if positive place results on this line.</v>
      </c>
      <c r="D76" s="143"/>
      <c r="E76" s="362">
        <f>'Unit Data from Audit Worksheet'!F84</f>
        <v>0</v>
      </c>
      <c r="F76" s="355">
        <f t="shared" si="11"/>
        <v>0</v>
      </c>
      <c r="G76" s="357"/>
      <c r="H76" s="354">
        <f>'Unit Data from Audit Worksheet'!I84</f>
        <v>0</v>
      </c>
      <c r="I76" s="38"/>
      <c r="J76" s="353">
        <v>508</v>
      </c>
      <c r="K76" s="352" t="s">
        <v>213</v>
      </c>
      <c r="L76" s="601">
        <f t="shared" si="9"/>
        <v>0</v>
      </c>
      <c r="P76" s="324"/>
      <c r="W76" s="3" t="b">
        <f t="shared" si="10"/>
        <v>1</v>
      </c>
      <c r="X76" s="598">
        <f t="shared" si="1"/>
        <v>0</v>
      </c>
      <c r="Y76" s="598">
        <f t="shared" si="2"/>
        <v>0</v>
      </c>
    </row>
    <row r="77" spans="1:27" ht="54.75" customHeight="1" x14ac:dyDescent="0.3">
      <c r="A77" s="342">
        <f>'Unit Data from Audit Worksheet'!A85</f>
        <v>509</v>
      </c>
      <c r="B77" s="356" t="str">
        <f>'Unit Data from Audit Worksheet'!C85</f>
        <v>General Fund-Rev, Exp. Change in Fund Balance</v>
      </c>
      <c r="C77" s="341" t="str">
        <f>'Unit Data from Audit Worksheet'!D85</f>
        <v>Debt Refunding - Net refunding proceeds against debt payoff and if negative place results on this line.</v>
      </c>
      <c r="D77" s="143"/>
      <c r="E77" s="362">
        <f>'Unit Data from Audit Worksheet'!F85</f>
        <v>0</v>
      </c>
      <c r="F77" s="355">
        <f t="shared" si="11"/>
        <v>0</v>
      </c>
      <c r="G77" s="357"/>
      <c r="H77" s="354">
        <f>'Unit Data from Audit Worksheet'!I85</f>
        <v>0</v>
      </c>
      <c r="I77" s="38"/>
      <c r="J77" s="353">
        <v>509</v>
      </c>
      <c r="K77" s="352" t="s">
        <v>214</v>
      </c>
      <c r="L77" s="601">
        <f t="shared" si="9"/>
        <v>0</v>
      </c>
      <c r="P77" s="324"/>
      <c r="W77" s="3" t="b">
        <f t="shared" si="10"/>
        <v>1</v>
      </c>
      <c r="X77" s="598">
        <f t="shared" si="1"/>
        <v>0</v>
      </c>
      <c r="Y77" s="598">
        <f t="shared" si="2"/>
        <v>0</v>
      </c>
    </row>
    <row r="78" spans="1:27" ht="84.75" customHeight="1" x14ac:dyDescent="0.3">
      <c r="A78" s="342">
        <f>'Unit Data from Audit Worksheet'!A86</f>
        <v>22</v>
      </c>
      <c r="B78" s="356" t="str">
        <f>'Unit Data from Audit Worksheet'!C86</f>
        <v>General Fund-Rev, Exp. Change in Fund Balance</v>
      </c>
      <c r="C78" s="341" t="str">
        <f>'Unit Data from Audit Worksheet'!D86</f>
        <v xml:space="preserve">All other items on this statement that were not included in total revenues, total expenditures, transfers in or out, or proceeds from long-term debt above.  </v>
      </c>
      <c r="D78" s="143"/>
      <c r="E78" s="362">
        <f>'Unit Data from Audit Worksheet'!F86</f>
        <v>0</v>
      </c>
      <c r="F78" s="355"/>
      <c r="G78" s="357"/>
      <c r="H78" s="354">
        <f>'Unit Data from Audit Worksheet'!I86</f>
        <v>0</v>
      </c>
      <c r="I78" s="38"/>
      <c r="J78" s="353">
        <v>22</v>
      </c>
      <c r="K78" s="352" t="s">
        <v>212</v>
      </c>
      <c r="L78" s="601">
        <f t="shared" si="9"/>
        <v>0</v>
      </c>
      <c r="P78" s="324"/>
      <c r="W78" s="3" t="b">
        <f t="shared" si="10"/>
        <v>1</v>
      </c>
      <c r="X78" s="598">
        <f t="shared" si="1"/>
        <v>0</v>
      </c>
      <c r="Y78" s="598">
        <f t="shared" si="2"/>
        <v>0</v>
      </c>
    </row>
    <row r="79" spans="1:27" ht="74.25" customHeight="1" x14ac:dyDescent="0.3">
      <c r="A79" s="342">
        <f>'Unit Data from Audit Worksheet'!A87</f>
        <v>23</v>
      </c>
      <c r="B79" s="356" t="str">
        <f>'Unit Data from Audit Worksheet'!C87</f>
        <v>General Fund-Rev, Exp. Change in Fund Balance</v>
      </c>
      <c r="C79" s="341" t="str">
        <f>'Unit Data from Audit Worksheet'!D87</f>
        <v>Change in fund balance - (Increase in Fund balance is recorded as a positive and a decrease in fund balance is recorded as a negative)</v>
      </c>
      <c r="D79" s="143"/>
      <c r="E79" s="362">
        <f>'Unit Data from Audit Worksheet'!F87</f>
        <v>0</v>
      </c>
      <c r="F79" s="355">
        <f>IF(+L70-L72+L73-L74+L75+L76-L77+L78-L79=0,,"Error:Total revenues less toal Expenditures do not equal change in fund balance")</f>
        <v>0</v>
      </c>
      <c r="G79" s="91">
        <f>+L70-L72+L73-L74+L75+L78+L76-L77-L79</f>
        <v>0</v>
      </c>
      <c r="H79" s="354">
        <f>'Unit Data from Audit Worksheet'!I87</f>
        <v>0</v>
      </c>
      <c r="I79" s="38"/>
      <c r="J79" s="353">
        <v>23</v>
      </c>
      <c r="K79" s="352" t="s">
        <v>215</v>
      </c>
      <c r="L79" s="601">
        <f t="shared" si="9"/>
        <v>0</v>
      </c>
      <c r="P79" s="324"/>
      <c r="Q79" s="591">
        <f>IF(G79&lt;&gt;0,1,0)</f>
        <v>0</v>
      </c>
      <c r="W79" s="3" t="b">
        <f t="shared" si="10"/>
        <v>1</v>
      </c>
      <c r="X79" s="598">
        <f t="shared" si="1"/>
        <v>0</v>
      </c>
      <c r="Y79" s="598">
        <f t="shared" si="2"/>
        <v>0</v>
      </c>
    </row>
    <row r="80" spans="1:27" ht="123" customHeight="1" x14ac:dyDescent="0.3">
      <c r="A80" s="613">
        <f>'Unit Data from Audit Worksheet'!A89</f>
        <v>507</v>
      </c>
      <c r="B80" s="116" t="str">
        <f>'Unit Data from Audit Worksheet'!C89</f>
        <v>General Fund-Rev, Exp. Change in Fund Balance</v>
      </c>
      <c r="C80" s="334"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09"/>
      <c r="E80" s="154">
        <f>'Unit Data from Audit Worksheet'!F89</f>
        <v>0</v>
      </c>
      <c r="F80" s="110" t="e">
        <f>IF(+L65-L79-L80=O65,,"Error: Beginning Fund Bal does not equal our records Accts 9-23-507= PY9")</f>
        <v>#N/A</v>
      </c>
      <c r="G80" s="121" t="e">
        <f>L65-L79-L80-O65</f>
        <v>#N/A</v>
      </c>
      <c r="H80" s="112" t="str">
        <f>'Unit Data from Audit Worksheet'!I89</f>
        <v>Please do not enter prior's years beginning balance as an adjustment in column F.</v>
      </c>
      <c r="I80" s="38"/>
      <c r="J80" s="104">
        <v>507</v>
      </c>
      <c r="K80" s="44" t="s">
        <v>216</v>
      </c>
      <c r="L80" s="601">
        <f t="shared" si="9"/>
        <v>0</v>
      </c>
      <c r="N80" s="610"/>
      <c r="O80" s="609"/>
      <c r="P80" s="325"/>
      <c r="Q80" s="591" t="e">
        <f>IF(G80&lt;&gt;0,1,0)</f>
        <v>#N/A</v>
      </c>
      <c r="W80" s="3" t="b">
        <f t="shared" si="10"/>
        <v>1</v>
      </c>
      <c r="X80" s="598">
        <f t="shared" si="1"/>
        <v>0</v>
      </c>
      <c r="Y80" s="598">
        <f t="shared" si="2"/>
        <v>0</v>
      </c>
    </row>
    <row r="81" spans="1:26" ht="123" customHeight="1" x14ac:dyDescent="0.3">
      <c r="A81" s="613">
        <f>'Unit Data from Audit Worksheet'!A90</f>
        <v>147</v>
      </c>
      <c r="B81" s="116" t="str">
        <f>'Unit Data from Audit Worksheet'!C90</f>
        <v>General Fund-Rev, Exp. Change in Fund Balance or General Fund Budget Actual</v>
      </c>
      <c r="C81" s="334"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5"/>
      <c r="E81" s="154">
        <f>'Unit Data from Audit Worksheet'!F90</f>
        <v>0</v>
      </c>
      <c r="F81" s="358"/>
      <c r="G81" s="366"/>
      <c r="H81" s="358"/>
      <c r="I81" s="38"/>
      <c r="J81" s="367">
        <v>147</v>
      </c>
      <c r="K81" s="359" t="s">
        <v>372</v>
      </c>
      <c r="L81" s="601">
        <f t="shared" si="9"/>
        <v>0</v>
      </c>
      <c r="N81" s="610"/>
      <c r="O81" s="609"/>
      <c r="P81" s="333"/>
      <c r="W81" s="3" t="b">
        <f t="shared" si="10"/>
        <v>1</v>
      </c>
      <c r="X81" s="598"/>
      <c r="Y81" s="598"/>
    </row>
    <row r="82" spans="1:26" ht="123" customHeight="1" x14ac:dyDescent="0.3">
      <c r="A82" s="613">
        <f>'Unit Data from Audit Worksheet'!A91</f>
        <v>585</v>
      </c>
      <c r="B82" s="116" t="str">
        <f>'Unit Data from Audit Worksheet'!C91</f>
        <v>General Fund-Rev, Exp. Change in Fund Balance or General Fund Budget Actual</v>
      </c>
      <c r="C82" s="603" t="str">
        <f>'Unit Data from Audit Worksheet'!D91</f>
        <v xml:space="preserve">How much of the above number in account 147 is from Timber Receipts sent to the schools </v>
      </c>
      <c r="D82" s="365"/>
      <c r="E82" s="154">
        <f>'Unit Data from Audit Worksheet'!F91</f>
        <v>0</v>
      </c>
      <c r="F82" s="358"/>
      <c r="G82" s="366"/>
      <c r="H82" s="358"/>
      <c r="I82" s="38"/>
      <c r="J82" s="367">
        <v>585</v>
      </c>
      <c r="K82" s="370" t="s">
        <v>661</v>
      </c>
      <c r="L82" s="601">
        <f t="shared" si="9"/>
        <v>0</v>
      </c>
      <c r="N82" s="610"/>
      <c r="O82" s="609"/>
      <c r="P82" s="333"/>
      <c r="W82" s="3" t="b">
        <f t="shared" si="10"/>
        <v>1</v>
      </c>
      <c r="X82" s="598"/>
      <c r="Y82" s="598"/>
    </row>
    <row r="83" spans="1:26" ht="123" customHeight="1" x14ac:dyDescent="0.3">
      <c r="A83" s="613">
        <f>'Unit Data from Audit Worksheet'!A92</f>
        <v>546</v>
      </c>
      <c r="B83" s="116" t="str">
        <f>'Unit Data from Audit Worksheet'!C92</f>
        <v>General Fund-Rev, Exp. Change in Fund Balance or General Fund Budget Actual</v>
      </c>
      <c r="C83" s="603" t="str">
        <f>'Unit Data from Audit Worksheet'!D92</f>
        <v>Amount of Supplemental School Tax revenue recorded in the governmental funds.</v>
      </c>
      <c r="D83" s="365"/>
      <c r="E83" s="154">
        <f>'Unit Data from Audit Worksheet'!F92</f>
        <v>0</v>
      </c>
      <c r="F83" s="358"/>
      <c r="G83" s="366"/>
      <c r="H83" s="358"/>
      <c r="I83" s="38"/>
      <c r="J83" s="367">
        <v>546</v>
      </c>
      <c r="K83" s="370" t="s">
        <v>927</v>
      </c>
      <c r="L83" s="601">
        <f t="shared" si="9"/>
        <v>0</v>
      </c>
      <c r="N83" s="610"/>
      <c r="O83" s="609"/>
      <c r="P83" s="333"/>
      <c r="W83" s="3" t="b">
        <f t="shared" si="10"/>
        <v>1</v>
      </c>
      <c r="X83" s="598"/>
      <c r="Y83" s="598"/>
    </row>
    <row r="84" spans="1:26" ht="123" customHeight="1" x14ac:dyDescent="0.3">
      <c r="A84" s="613">
        <f>'Unit Data from Audit Worksheet'!A93</f>
        <v>589</v>
      </c>
      <c r="B84" s="116" t="str">
        <f>'Unit Data from Audit Worksheet'!C93</f>
        <v>General Fund-Rev, Exp. Change in Fund Balance or General Fund Budget Actual</v>
      </c>
      <c r="C84" s="603" t="str">
        <f>'Unit Data from Audit Worksheet'!D93</f>
        <v>Amount of Supplemental School Tax revenue recorded in agency funds.</v>
      </c>
      <c r="D84" s="365"/>
      <c r="E84" s="154">
        <f>'Unit Data from Audit Worksheet'!F93</f>
        <v>0</v>
      </c>
      <c r="F84" s="358"/>
      <c r="G84" s="366"/>
      <c r="H84" s="358"/>
      <c r="I84" s="38"/>
      <c r="J84" s="367">
        <v>589</v>
      </c>
      <c r="K84" s="123" t="s">
        <v>1376</v>
      </c>
      <c r="L84" s="601">
        <f t="shared" si="9"/>
        <v>0</v>
      </c>
      <c r="N84" s="610"/>
      <c r="O84" s="609"/>
      <c r="P84" s="333"/>
      <c r="W84" s="3" t="b">
        <f t="shared" si="10"/>
        <v>1</v>
      </c>
      <c r="X84" s="598"/>
      <c r="Y84" s="598"/>
    </row>
    <row r="85" spans="1:26" ht="123" customHeight="1" x14ac:dyDescent="0.3">
      <c r="A85" s="613">
        <f>'Unit Data from Audit Worksheet'!A94</f>
        <v>149</v>
      </c>
      <c r="B85" s="116" t="str">
        <f>'Unit Data from Audit Worksheet'!C94</f>
        <v>General Fund-Rev, Exp. Change in Fund Balance or General Fund Budget Actual</v>
      </c>
      <c r="C85" s="603"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5"/>
      <c r="E85" s="154">
        <f>'Unit Data from Audit Worksheet'!F94</f>
        <v>0</v>
      </c>
      <c r="F85" s="358"/>
      <c r="G85" s="366"/>
      <c r="H85" s="358"/>
      <c r="I85" s="38"/>
      <c r="J85" s="367">
        <v>149</v>
      </c>
      <c r="K85" s="253" t="s">
        <v>376</v>
      </c>
      <c r="L85" s="601">
        <f t="shared" si="9"/>
        <v>0</v>
      </c>
      <c r="N85" s="610"/>
      <c r="O85" s="609"/>
      <c r="P85" s="333"/>
      <c r="W85" s="3" t="b">
        <f t="shared" si="10"/>
        <v>1</v>
      </c>
      <c r="X85" s="598"/>
      <c r="Y85" s="598"/>
      <c r="Z85" s="3" t="s">
        <v>1467</v>
      </c>
    </row>
    <row r="86" spans="1:26" ht="123" customHeight="1" x14ac:dyDescent="0.3">
      <c r="A86" s="613">
        <f>'Unit Data from Audit Worksheet'!A95</f>
        <v>150</v>
      </c>
      <c r="B86" s="116" t="str">
        <f>'Unit Data from Audit Worksheet'!C95</f>
        <v>General Fund-Rev, Exp. Change in Fund Balance or General Fund Budget Actual</v>
      </c>
      <c r="C86" s="603"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5"/>
      <c r="E86" s="154">
        <f>'Unit Data from Audit Worksheet'!F95</f>
        <v>0</v>
      </c>
      <c r="F86" s="358"/>
      <c r="G86" s="366"/>
      <c r="H86" s="358"/>
      <c r="I86" s="38"/>
      <c r="J86" s="367">
        <v>150</v>
      </c>
      <c r="K86" s="253" t="s">
        <v>927</v>
      </c>
      <c r="L86" s="601">
        <f t="shared" si="9"/>
        <v>0</v>
      </c>
      <c r="N86" s="610"/>
      <c r="O86" s="609"/>
      <c r="P86" s="333"/>
      <c r="W86" s="3" t="b">
        <f t="shared" si="10"/>
        <v>1</v>
      </c>
      <c r="X86" s="598"/>
      <c r="Y86" s="598"/>
      <c r="Z86" s="3" t="s">
        <v>1467</v>
      </c>
    </row>
    <row r="87" spans="1:26" ht="123" customHeight="1" x14ac:dyDescent="0.3">
      <c r="A87" s="613">
        <f>'Unit Data from Audit Worksheet'!A96</f>
        <v>587</v>
      </c>
      <c r="B87" s="116" t="str">
        <f>'Unit Data from Audit Worksheet'!C96</f>
        <v xml:space="preserve">Fund 8 Rev, Exp. Change in Fund Balance Rpt. </v>
      </c>
      <c r="C87" s="603" t="str">
        <f>'Unit Data from Audit Worksheet'!D96</f>
        <v>Amount of Local Current Expense Funds received from the County transferred to Fund 8 this year.</v>
      </c>
      <c r="D87" s="365"/>
      <c r="E87" s="154">
        <f>'Unit Data from Audit Worksheet'!F96</f>
        <v>0</v>
      </c>
      <c r="F87" s="358"/>
      <c r="G87" s="366"/>
      <c r="H87" s="358"/>
      <c r="I87" s="38"/>
      <c r="J87" s="367">
        <v>587</v>
      </c>
      <c r="K87" s="253" t="s">
        <v>665</v>
      </c>
      <c r="L87" s="601">
        <f t="shared" si="9"/>
        <v>0</v>
      </c>
      <c r="N87" s="610"/>
      <c r="O87" s="609"/>
      <c r="P87" s="333"/>
      <c r="W87" s="3" t="b">
        <f t="shared" si="10"/>
        <v>1</v>
      </c>
      <c r="X87" s="598"/>
      <c r="Y87" s="598"/>
      <c r="Z87" s="3" t="s">
        <v>1467</v>
      </c>
    </row>
    <row r="88" spans="1:26" ht="123" customHeight="1" x14ac:dyDescent="0.3">
      <c r="A88" s="613">
        <f>'Unit Data from Audit Worksheet'!A97</f>
        <v>588</v>
      </c>
      <c r="B88" s="116" t="str">
        <f>'Unit Data from Audit Worksheet'!C97</f>
        <v xml:space="preserve">Fund 8 Rev, Exp. Change in Fund Balance Rpt. </v>
      </c>
      <c r="C88" s="603" t="str">
        <f>'Unit Data from Audit Worksheet'!D97</f>
        <v>Amount of Capital Outlay Funds received from the County transferred to Fund 8 this year.</v>
      </c>
      <c r="D88" s="365"/>
      <c r="E88" s="154">
        <f>'Unit Data from Audit Worksheet'!F97</f>
        <v>0</v>
      </c>
      <c r="F88" s="358"/>
      <c r="G88" s="366"/>
      <c r="H88" s="358"/>
      <c r="I88" s="38"/>
      <c r="J88" s="367">
        <v>588</v>
      </c>
      <c r="K88" s="253" t="s">
        <v>667</v>
      </c>
      <c r="L88" s="601">
        <f t="shared" si="9"/>
        <v>0</v>
      </c>
      <c r="N88" s="610"/>
      <c r="O88" s="609"/>
      <c r="P88" s="333"/>
      <c r="W88" s="3" t="b">
        <f t="shared" si="10"/>
        <v>1</v>
      </c>
      <c r="X88" s="598"/>
      <c r="Y88" s="598"/>
      <c r="Z88" s="3" t="s">
        <v>1467</v>
      </c>
    </row>
    <row r="89" spans="1:26" s="18" customFormat="1" ht="40.5" customHeight="1" x14ac:dyDescent="0.3">
      <c r="A89" s="315">
        <f>'Unit Data from Audit Worksheet'!A98</f>
        <v>647</v>
      </c>
      <c r="B89" s="369" t="str">
        <f>'Unit Data from Audit Worksheet'!C98</f>
        <v>Debt Service Fund</v>
      </c>
      <c r="C89" s="315" t="str">
        <f>'Unit Data from Audit Worksheet'!D98</f>
        <v>Please enter the Total Fund Balance for any Debt Service Funds</v>
      </c>
      <c r="D89" s="115"/>
      <c r="E89" s="368">
        <f>'Unit Data from Audit Worksheet'!F98</f>
        <v>0</v>
      </c>
      <c r="F89" s="350"/>
      <c r="G89" s="345"/>
      <c r="H89" s="350">
        <f>'Unit Data from Audit Worksheet'!I98</f>
        <v>0</v>
      </c>
      <c r="I89" s="614"/>
      <c r="J89" s="349">
        <v>647</v>
      </c>
      <c r="K89" s="318" t="s">
        <v>1679</v>
      </c>
      <c r="L89" s="615">
        <f>IF(D89="",E89,D89)</f>
        <v>0</v>
      </c>
      <c r="M89" s="605"/>
      <c r="N89" s="605"/>
      <c r="O89" s="621"/>
      <c r="P89" s="326"/>
      <c r="Q89" s="606"/>
      <c r="R89" s="3"/>
      <c r="S89" s="605"/>
      <c r="T89" s="605"/>
      <c r="U89" s="605"/>
      <c r="V89" s="605"/>
      <c r="W89" s="18" t="b">
        <f t="shared" si="10"/>
        <v>1</v>
      </c>
      <c r="X89" s="607">
        <f t="shared" si="1"/>
        <v>0</v>
      </c>
      <c r="Y89" s="607">
        <f t="shared" si="2"/>
        <v>0</v>
      </c>
    </row>
    <row r="90" spans="1:26" s="18" customFormat="1" ht="66" customHeight="1" x14ac:dyDescent="0.3">
      <c r="A90" s="315">
        <f>'Unit Data from Audit Worksheet'!A100</f>
        <v>148</v>
      </c>
      <c r="B90" s="369" t="str">
        <f>'Unit Data from Audit Worksheet'!C100</f>
        <v>All Gov. Funds Rev, Exp. Change in Fund Balance</v>
      </c>
      <c r="C90" s="348" t="str">
        <f>'Unit Data from Audit Worksheet'!D100</f>
        <v>Capital Outlay contributions to the BOEs (include amounts from general fund, capital project funds and any other fund sent to the BOE as part of capital outlay)</v>
      </c>
      <c r="D90" s="365"/>
      <c r="E90" s="368">
        <f>'Unit Data from Audit Worksheet'!F100</f>
        <v>0</v>
      </c>
      <c r="F90" s="358"/>
      <c r="G90" s="366"/>
      <c r="H90" s="358"/>
      <c r="I90" s="38"/>
      <c r="J90" s="367">
        <v>148</v>
      </c>
      <c r="K90" s="359" t="s">
        <v>374</v>
      </c>
      <c r="L90" s="601">
        <f t="shared" si="9"/>
        <v>0</v>
      </c>
      <c r="M90" s="622"/>
      <c r="N90" s="622"/>
      <c r="O90" s="623"/>
      <c r="P90" s="333"/>
      <c r="Q90" s="624"/>
      <c r="R90" s="3"/>
      <c r="S90" s="622"/>
      <c r="T90" s="622"/>
      <c r="U90" s="622"/>
      <c r="V90" s="622"/>
      <c r="W90" s="622" t="b">
        <f t="shared" si="10"/>
        <v>1</v>
      </c>
      <c r="X90" s="607"/>
      <c r="Y90" s="607"/>
    </row>
    <row r="91" spans="1:26" ht="60" customHeight="1" x14ac:dyDescent="0.3">
      <c r="A91" s="599">
        <f>'Unit Data from Audit Worksheet'!A101</f>
        <v>171</v>
      </c>
      <c r="B91" s="54" t="str">
        <f>'Unit Data from Audit Worksheet'!C101</f>
        <v>Fund Statements - all Governmental Funds</v>
      </c>
      <c r="C91" s="600" t="str">
        <f>'Unit Data from Audit Worksheet'!D101</f>
        <v>Debt service expenditures from all governmental funds.  Include principal, interest paid, and debt issuance costs on long-term debt.</v>
      </c>
      <c r="D91" s="361"/>
      <c r="E91" s="151">
        <f>'Unit Data from Audit Worksheet'!F101</f>
        <v>0</v>
      </c>
      <c r="F91" s="47">
        <f>IF(L91&lt;0,"Error: Enter as a positive.",)</f>
        <v>0</v>
      </c>
      <c r="G91" s="72"/>
      <c r="H91" s="354">
        <f>'Unit Data from Audit Worksheet'!I101</f>
        <v>0</v>
      </c>
      <c r="I91" s="38"/>
      <c r="J91" s="42">
        <v>171</v>
      </c>
      <c r="K91" s="51" t="s">
        <v>217</v>
      </c>
      <c r="L91" s="601">
        <f t="shared" si="9"/>
        <v>0</v>
      </c>
      <c r="P91" s="323"/>
      <c r="W91" s="3" t="b">
        <f t="shared" si="10"/>
        <v>1</v>
      </c>
      <c r="X91" s="598">
        <f t="shared" si="1"/>
        <v>0</v>
      </c>
      <c r="Y91" s="598">
        <f t="shared" si="2"/>
        <v>0</v>
      </c>
    </row>
    <row r="92" spans="1:26" s="741" customFormat="1" ht="60" customHeight="1" x14ac:dyDescent="0.3">
      <c r="A92" s="599">
        <f>'Unit Data from Audit Worksheet'!A103</f>
        <v>36</v>
      </c>
      <c r="B92" s="54" t="str">
        <f>'Unit Data from Audit Worksheet'!C103</f>
        <v>Net Position</v>
      </c>
      <c r="C92" s="600" t="str">
        <f>'Unit Data from Audit Worksheet'!D103</f>
        <v>Total Gross Capital Assets - without accumulated depreciation</v>
      </c>
      <c r="D92" s="361"/>
      <c r="E92" s="151">
        <f>'Unit Data from Audit Worksheet'!F103</f>
        <v>0</v>
      </c>
      <c r="F92" s="47"/>
      <c r="G92" s="72"/>
      <c r="H92" s="354"/>
      <c r="I92" s="743"/>
      <c r="J92" s="42">
        <v>36</v>
      </c>
      <c r="K92" s="51" t="s">
        <v>1524</v>
      </c>
      <c r="L92" s="601">
        <f t="shared" si="9"/>
        <v>0</v>
      </c>
      <c r="P92" s="323"/>
      <c r="Q92" s="591"/>
      <c r="W92" s="622" t="b">
        <f t="shared" si="10"/>
        <v>1</v>
      </c>
      <c r="X92" s="598"/>
      <c r="Y92" s="598"/>
    </row>
    <row r="93" spans="1:26" s="741" customFormat="1" ht="60" customHeight="1" x14ac:dyDescent="0.3">
      <c r="A93" s="599">
        <f>'Unit Data from Audit Worksheet'!A104</f>
        <v>534</v>
      </c>
      <c r="B93" s="54" t="str">
        <f>'Unit Data from Audit Worksheet'!C104</f>
        <v>Net Position</v>
      </c>
      <c r="C93" s="600" t="str">
        <f>'Unit Data from Audit Worksheet'!D104</f>
        <v>Combined Totals of all Proprietary Funds - Amount of Inventories and Prepaids in current assets</v>
      </c>
      <c r="D93" s="361"/>
      <c r="E93" s="151">
        <f>'Unit Data from Audit Worksheet'!F104</f>
        <v>0</v>
      </c>
      <c r="F93" s="47"/>
      <c r="G93" s="72"/>
      <c r="H93" s="354"/>
      <c r="I93" s="743"/>
      <c r="J93" s="42">
        <v>534</v>
      </c>
      <c r="K93" s="51" t="s">
        <v>275</v>
      </c>
      <c r="L93" s="601">
        <f t="shared" si="9"/>
        <v>0</v>
      </c>
      <c r="P93" s="323"/>
      <c r="Q93" s="591"/>
      <c r="W93" s="622" t="b">
        <f t="shared" si="10"/>
        <v>1</v>
      </c>
      <c r="X93" s="598"/>
      <c r="Y93" s="598"/>
    </row>
    <row r="94" spans="1:26" ht="60" customHeight="1" x14ac:dyDescent="0.3">
      <c r="A94" s="599">
        <f>'Unit Data from Audit Worksheet'!A105</f>
        <v>13</v>
      </c>
      <c r="B94" s="54" t="str">
        <f>'Unit Data from Audit Worksheet'!C105</f>
        <v>Combined Proprietary Funds - Net Position</v>
      </c>
      <c r="C94" s="600" t="str">
        <f>'Unit Data from Audit Worksheet'!D105</f>
        <v>Comb-Proprietary Funds-Current Assets 
Exclude: any restricted assets
                  deferred outflows</v>
      </c>
      <c r="D94" s="361"/>
      <c r="E94" s="151">
        <f>'Unit Data from Audit Worksheet'!F105</f>
        <v>0</v>
      </c>
      <c r="F94" s="47"/>
      <c r="G94" s="72"/>
      <c r="H94" s="354"/>
      <c r="I94" s="38"/>
      <c r="J94" s="42">
        <v>13</v>
      </c>
      <c r="K94" s="51" t="s">
        <v>1455</v>
      </c>
      <c r="L94" s="601">
        <f t="shared" si="9"/>
        <v>0</v>
      </c>
      <c r="P94" s="323"/>
      <c r="X94" s="598"/>
      <c r="Y94" s="598"/>
    </row>
    <row r="95" spans="1:26" ht="60" customHeight="1" x14ac:dyDescent="0.3">
      <c r="A95" s="599">
        <f>'Unit Data from Audit Worksheet'!A106</f>
        <v>14</v>
      </c>
      <c r="B95" s="54" t="str">
        <f>'Unit Data from Audit Worksheet'!C106</f>
        <v>Combined Proprietary Funds - Net Position</v>
      </c>
      <c r="C95" s="600"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61"/>
      <c r="E95" s="151">
        <f>'Unit Data from Audit Worksheet'!F106</f>
        <v>0</v>
      </c>
      <c r="F95" s="47"/>
      <c r="G95" s="72"/>
      <c r="H95" s="354"/>
      <c r="I95" s="38"/>
      <c r="J95" s="42">
        <v>14</v>
      </c>
      <c r="K95" s="51" t="s">
        <v>1456</v>
      </c>
      <c r="L95" s="601">
        <f t="shared" si="9"/>
        <v>0</v>
      </c>
      <c r="P95" s="323"/>
      <c r="X95" s="598"/>
      <c r="Y95" s="598"/>
    </row>
    <row r="96" spans="1:26" s="741" customFormat="1" ht="60" customHeight="1" x14ac:dyDescent="0.3">
      <c r="A96" s="599">
        <f>'Unit Data from Audit Worksheet'!A107</f>
        <v>571</v>
      </c>
      <c r="B96" s="54" t="str">
        <f>'Unit Data from Audit Worksheet'!C107</f>
        <v>Statement of Net Position - combined totals from all Proprietary Funds</v>
      </c>
      <c r="C96" s="600" t="str">
        <f>'Unit Data from Audit Worksheet'!D107</f>
        <v>Mental Health Net Position - Net Investment in Capital Assets</v>
      </c>
      <c r="D96" s="361"/>
      <c r="E96" s="151">
        <f>'Unit Data from Audit Worksheet'!F107</f>
        <v>0</v>
      </c>
      <c r="F96" s="47"/>
      <c r="G96" s="72"/>
      <c r="H96" s="354"/>
      <c r="I96" s="743"/>
      <c r="J96" s="42">
        <v>571</v>
      </c>
      <c r="K96" s="51" t="s">
        <v>1495</v>
      </c>
      <c r="L96" s="601">
        <f t="shared" si="9"/>
        <v>0</v>
      </c>
      <c r="P96" s="323"/>
      <c r="Q96" s="591"/>
      <c r="X96" s="598"/>
      <c r="Y96" s="598"/>
    </row>
    <row r="97" spans="1:26" s="741" customFormat="1" ht="60" customHeight="1" x14ac:dyDescent="0.3">
      <c r="A97" s="599">
        <f>'Unit Data from Audit Worksheet'!A108</f>
        <v>572</v>
      </c>
      <c r="B97" s="54" t="str">
        <f>'Unit Data from Audit Worksheet'!C108</f>
        <v>Statement of Net Position - combined totals from all Proprietary Funds</v>
      </c>
      <c r="C97" s="600" t="str">
        <f>'Unit Data from Audit Worksheet'!D108</f>
        <v>Mental Health Net Position - Restricted Net Position</v>
      </c>
      <c r="D97" s="361"/>
      <c r="E97" s="151">
        <f>'Unit Data from Audit Worksheet'!F108</f>
        <v>0</v>
      </c>
      <c r="F97" s="47"/>
      <c r="G97" s="72"/>
      <c r="H97" s="354"/>
      <c r="I97" s="743"/>
      <c r="J97" s="42">
        <v>572</v>
      </c>
      <c r="K97" s="51" t="s">
        <v>1496</v>
      </c>
      <c r="L97" s="601">
        <f t="shared" si="9"/>
        <v>0</v>
      </c>
      <c r="P97" s="323"/>
      <c r="Q97" s="591"/>
      <c r="X97" s="598"/>
      <c r="Y97" s="598"/>
    </row>
    <row r="98" spans="1:26" s="741" customFormat="1" ht="60" customHeight="1" x14ac:dyDescent="0.3">
      <c r="A98" s="599">
        <f>'Unit Data from Audit Worksheet'!A109</f>
        <v>573</v>
      </c>
      <c r="B98" s="54" t="str">
        <f>'Unit Data from Audit Worksheet'!C109</f>
        <v>Statement of Net Position - combined totals from all Proprietary Funds</v>
      </c>
      <c r="C98" s="600" t="str">
        <f>'Unit Data from Audit Worksheet'!D109</f>
        <v>Mental Health Net Position - Unrestricted Net Position</v>
      </c>
      <c r="D98" s="361"/>
      <c r="E98" s="151">
        <f>'Unit Data from Audit Worksheet'!F109</f>
        <v>0</v>
      </c>
      <c r="F98" s="47"/>
      <c r="G98" s="72"/>
      <c r="H98" s="354"/>
      <c r="I98" s="743"/>
      <c r="J98" s="42">
        <v>573</v>
      </c>
      <c r="K98" s="51" t="s">
        <v>1654</v>
      </c>
      <c r="L98" s="601">
        <f t="shared" si="9"/>
        <v>0</v>
      </c>
      <c r="P98" s="323"/>
      <c r="Q98" s="591"/>
      <c r="X98" s="598"/>
      <c r="Y98" s="598"/>
    </row>
    <row r="99" spans="1:26" ht="60" customHeight="1" x14ac:dyDescent="0.3">
      <c r="A99" s="599">
        <f>'Unit Data from Audit Worksheet'!A110</f>
        <v>34</v>
      </c>
      <c r="B99" s="54" t="str">
        <f>'Unit Data from Audit Worksheet'!C110</f>
        <v>Net Position</v>
      </c>
      <c r="C99" s="600" t="str">
        <f>'Unit Data from Audit Worksheet'!D110</f>
        <v>Hospital-EF- Unrestricted Cash &amp; Invest. [Incl.all but Held by Trustee or 3rd party restricted](BS)</v>
      </c>
      <c r="D99" s="361"/>
      <c r="E99" s="151">
        <f>'Unit Data from Audit Worksheet'!F110</f>
        <v>0</v>
      </c>
      <c r="F99" s="47"/>
      <c r="G99" s="72"/>
      <c r="H99" s="354"/>
      <c r="I99" s="38"/>
      <c r="J99" s="42">
        <v>34</v>
      </c>
      <c r="K99" s="51" t="s">
        <v>1470</v>
      </c>
      <c r="L99" s="601">
        <f t="shared" si="9"/>
        <v>0</v>
      </c>
      <c r="P99" s="323"/>
      <c r="X99" s="598"/>
      <c r="Y99" s="598"/>
      <c r="Z99" s="3" t="s">
        <v>1468</v>
      </c>
    </row>
    <row r="100" spans="1:26" ht="60" customHeight="1" x14ac:dyDescent="0.3">
      <c r="A100" s="599">
        <f>'Unit Data from Audit Worksheet'!A111</f>
        <v>35</v>
      </c>
      <c r="B100" s="54" t="str">
        <f>'Unit Data from Audit Worksheet'!C111</f>
        <v>Net Position</v>
      </c>
      <c r="C100" s="600" t="str">
        <f>'Unit Data from Audit Worksheet'!D111</f>
        <v>Mental Health or Hospital-EF- Patient Accounts Receivable, Net of Allowance for Bad Debt</v>
      </c>
      <c r="D100" s="361"/>
      <c r="E100" s="151">
        <f>'Unit Data from Audit Worksheet'!F111</f>
        <v>0</v>
      </c>
      <c r="F100" s="47"/>
      <c r="G100" s="72"/>
      <c r="H100" s="354"/>
      <c r="I100" s="38"/>
      <c r="J100" s="42">
        <v>35</v>
      </c>
      <c r="K100" s="51" t="s">
        <v>1471</v>
      </c>
      <c r="L100" s="601">
        <f t="shared" si="9"/>
        <v>0</v>
      </c>
      <c r="P100" s="323"/>
      <c r="X100" s="598"/>
      <c r="Y100" s="598"/>
      <c r="Z100" s="3" t="s">
        <v>1468</v>
      </c>
    </row>
    <row r="101" spans="1:26" ht="60" customHeight="1" x14ac:dyDescent="0.3">
      <c r="A101" s="599">
        <f>'Unit Data from Audit Worksheet'!A112</f>
        <v>37</v>
      </c>
      <c r="B101" s="54" t="str">
        <f>'Unit Data from Audit Worksheet'!C112</f>
        <v>Net Position</v>
      </c>
      <c r="C101" s="600" t="str">
        <f>'Unit Data from Audit Worksheet'!D112</f>
        <v>Total Long-term debt (non current portion only) - enter as a positive</v>
      </c>
      <c r="D101" s="361"/>
      <c r="E101" s="151">
        <f>'Unit Data from Audit Worksheet'!F112</f>
        <v>0</v>
      </c>
      <c r="F101" s="47"/>
      <c r="G101" s="72"/>
      <c r="H101" s="354"/>
      <c r="I101" s="38"/>
      <c r="J101" s="42">
        <v>37</v>
      </c>
      <c r="K101" s="51" t="s">
        <v>1481</v>
      </c>
      <c r="L101" s="601">
        <f t="shared" si="9"/>
        <v>0</v>
      </c>
      <c r="P101" s="323"/>
      <c r="X101" s="598"/>
      <c r="Y101" s="598"/>
      <c r="Z101" s="3" t="s">
        <v>1468</v>
      </c>
    </row>
    <row r="102" spans="1:26" ht="60" customHeight="1" x14ac:dyDescent="0.3">
      <c r="A102" s="599">
        <f>'Unit Data from Audit Worksheet'!A113</f>
        <v>38</v>
      </c>
      <c r="B102" s="54" t="str">
        <f>'Unit Data from Audit Worksheet'!C113</f>
        <v>Net Position</v>
      </c>
      <c r="C102" s="600" t="str">
        <f>'Unit Data from Audit Worksheet'!D113</f>
        <v>Unrestricted fund equity or net position</v>
      </c>
      <c r="D102" s="361"/>
      <c r="E102" s="151">
        <f>'Unit Data from Audit Worksheet'!F113</f>
        <v>0</v>
      </c>
      <c r="F102" s="47"/>
      <c r="G102" s="72"/>
      <c r="H102" s="354"/>
      <c r="I102" s="38"/>
      <c r="J102" s="42">
        <v>38</v>
      </c>
      <c r="K102" s="51" t="s">
        <v>1472</v>
      </c>
      <c r="L102" s="601">
        <f t="shared" si="9"/>
        <v>0</v>
      </c>
      <c r="P102" s="323"/>
      <c r="X102" s="598"/>
      <c r="Y102" s="598"/>
      <c r="Z102" s="3" t="s">
        <v>1468</v>
      </c>
    </row>
    <row r="103" spans="1:26" ht="60" customHeight="1" x14ac:dyDescent="0.3">
      <c r="A103" s="599">
        <f>'Unit Data from Audit Worksheet'!A114</f>
        <v>32</v>
      </c>
      <c r="B103" s="54" t="str">
        <f>'Unit Data from Audit Worksheet'!C114</f>
        <v>Combined Totals of all Proprietary Funds - Revenue, Expenses, Changes in Net Position</v>
      </c>
      <c r="C103" s="600" t="str">
        <f>'Unit Data from Audit Worksheet'!D114</f>
        <v>Combined Totals of all proprietary Funds - Depreciation &amp; Amortization Expense</v>
      </c>
      <c r="D103" s="361"/>
      <c r="E103" s="151">
        <f>'Unit Data from Audit Worksheet'!F114</f>
        <v>0</v>
      </c>
      <c r="F103" s="47"/>
      <c r="G103" s="72"/>
      <c r="H103" s="354"/>
      <c r="I103" s="38"/>
      <c r="J103" s="42">
        <v>32</v>
      </c>
      <c r="K103" s="51" t="s">
        <v>1458</v>
      </c>
      <c r="L103" s="601">
        <f t="shared" si="9"/>
        <v>0</v>
      </c>
      <c r="P103" s="323"/>
      <c r="X103" s="598"/>
      <c r="Y103" s="598"/>
      <c r="Z103" s="3" t="s">
        <v>1468</v>
      </c>
    </row>
    <row r="104" spans="1:26" ht="60" customHeight="1" x14ac:dyDescent="0.3">
      <c r="A104" s="599">
        <f>'Unit Data from Audit Worksheet'!A115</f>
        <v>40</v>
      </c>
      <c r="B104" s="54" t="str">
        <f>'Unit Data from Audit Worksheet'!C115</f>
        <v>Revenue, Expenses, Changes in Net Position</v>
      </c>
      <c r="C104" s="600" t="str">
        <f>'Unit Data from Audit Worksheet'!D115</f>
        <v>Net Patient Revenues</v>
      </c>
      <c r="D104" s="361"/>
      <c r="E104" s="151">
        <f>'Unit Data from Audit Worksheet'!F115</f>
        <v>0</v>
      </c>
      <c r="F104" s="47"/>
      <c r="G104" s="72"/>
      <c r="H104" s="354"/>
      <c r="I104" s="38"/>
      <c r="J104" s="42">
        <v>40</v>
      </c>
      <c r="K104" s="51" t="s">
        <v>1474</v>
      </c>
      <c r="L104" s="601">
        <f t="shared" si="9"/>
        <v>0</v>
      </c>
      <c r="P104" s="323"/>
      <c r="X104" s="598"/>
      <c r="Y104" s="598"/>
      <c r="Z104" s="3" t="s">
        <v>1468</v>
      </c>
    </row>
    <row r="105" spans="1:26" ht="60" customHeight="1" x14ac:dyDescent="0.3">
      <c r="A105" s="599">
        <f>'Unit Data from Audit Worksheet'!A116</f>
        <v>107</v>
      </c>
      <c r="B105" s="54" t="str">
        <f>'Unit Data from Audit Worksheet'!C116</f>
        <v>Revenue, Expenses, Changes in Net Position</v>
      </c>
      <c r="C105" s="600" t="str">
        <f>'Unit Data from Audit Worksheet'!D116</f>
        <v>Total Operating Revenues</v>
      </c>
      <c r="D105" s="361"/>
      <c r="E105" s="151">
        <f>'Unit Data from Audit Worksheet'!F116</f>
        <v>0</v>
      </c>
      <c r="F105" s="47"/>
      <c r="G105" s="72"/>
      <c r="H105" s="354"/>
      <c r="I105" s="38"/>
      <c r="J105" s="42">
        <v>107</v>
      </c>
      <c r="K105" s="51" t="s">
        <v>1475</v>
      </c>
      <c r="L105" s="601">
        <f t="shared" si="9"/>
        <v>0</v>
      </c>
      <c r="P105" s="323"/>
      <c r="X105" s="598"/>
      <c r="Y105" s="598"/>
      <c r="Z105" s="3" t="s">
        <v>1468</v>
      </c>
    </row>
    <row r="106" spans="1:26" ht="60" customHeight="1" x14ac:dyDescent="0.3">
      <c r="A106" s="599">
        <f>'Unit Data from Audit Worksheet'!A117</f>
        <v>108</v>
      </c>
      <c r="B106" s="54" t="str">
        <f>'Unit Data from Audit Worksheet'!C117</f>
        <v>Revenue, Expenses, Changes in Net Position</v>
      </c>
      <c r="C106" s="600" t="str">
        <f>'Unit Data from Audit Worksheet'!D117</f>
        <v>Total Operating Expenses. May include Interest Expense - Enter as a positive</v>
      </c>
      <c r="D106" s="361"/>
      <c r="E106" s="151">
        <f>'Unit Data from Audit Worksheet'!F117</f>
        <v>0</v>
      </c>
      <c r="F106" s="47"/>
      <c r="G106" s="72"/>
      <c r="H106" s="354"/>
      <c r="I106" s="38"/>
      <c r="J106" s="42">
        <v>108</v>
      </c>
      <c r="K106" s="51" t="s">
        <v>1482</v>
      </c>
      <c r="L106" s="601">
        <f t="shared" si="9"/>
        <v>0</v>
      </c>
      <c r="P106" s="323"/>
      <c r="X106" s="598"/>
      <c r="Y106" s="598"/>
      <c r="Z106" s="3" t="s">
        <v>1468</v>
      </c>
    </row>
    <row r="107" spans="1:26" ht="60" customHeight="1" x14ac:dyDescent="0.3">
      <c r="A107" s="599">
        <f>'Unit Data from Audit Worksheet'!A118</f>
        <v>41</v>
      </c>
      <c r="B107" s="54" t="str">
        <f>'Unit Data from Audit Worksheet'!C118</f>
        <v>Revenue, Expenses, Changes in Net Position</v>
      </c>
      <c r="C107" s="600" t="str">
        <f>'Unit Data from Audit Worksheet'!D118</f>
        <v xml:space="preserve">Interest Expense - Enter as a positive </v>
      </c>
      <c r="D107" s="361"/>
      <c r="E107" s="151">
        <f>'Unit Data from Audit Worksheet'!F118</f>
        <v>0</v>
      </c>
      <c r="F107" s="47"/>
      <c r="G107" s="72"/>
      <c r="H107" s="354"/>
      <c r="I107" s="38"/>
      <c r="J107" s="42">
        <v>41</v>
      </c>
      <c r="K107" s="51" t="s">
        <v>1483</v>
      </c>
      <c r="L107" s="601">
        <f t="shared" si="9"/>
        <v>0</v>
      </c>
      <c r="P107" s="323"/>
      <c r="X107" s="598"/>
      <c r="Y107" s="598"/>
      <c r="Z107" s="3" t="s">
        <v>1468</v>
      </c>
    </row>
    <row r="108" spans="1:26" ht="60" customHeight="1" x14ac:dyDescent="0.3">
      <c r="A108" s="599">
        <f>'Unit Data from Audit Worksheet'!A119</f>
        <v>194</v>
      </c>
      <c r="B108" s="54" t="str">
        <f>'Unit Data from Audit Worksheet'!C119</f>
        <v>Revenue, Expenses, Changes in Net Position</v>
      </c>
      <c r="C108" s="600" t="str">
        <f>'Unit Data from Audit Worksheet'!D119</f>
        <v xml:space="preserve">Capital Contributions </v>
      </c>
      <c r="D108" s="361"/>
      <c r="E108" s="151">
        <f>'Unit Data from Audit Worksheet'!F119</f>
        <v>0</v>
      </c>
      <c r="F108" s="47"/>
      <c r="G108" s="72"/>
      <c r="H108" s="354"/>
      <c r="I108" s="38"/>
      <c r="J108" s="42">
        <v>194</v>
      </c>
      <c r="K108" s="51" t="s">
        <v>1476</v>
      </c>
      <c r="L108" s="601">
        <f t="shared" si="9"/>
        <v>0</v>
      </c>
      <c r="P108" s="323"/>
      <c r="X108" s="598"/>
      <c r="Y108" s="598"/>
      <c r="Z108" s="3" t="s">
        <v>1468</v>
      </c>
    </row>
    <row r="109" spans="1:26" ht="60" customHeight="1" x14ac:dyDescent="0.3">
      <c r="A109" s="599">
        <f>'Unit Data from Audit Worksheet'!A120</f>
        <v>294</v>
      </c>
      <c r="B109" s="54" t="str">
        <f>'Unit Data from Audit Worksheet'!C120</f>
        <v>Revenue, Expenses, Changes in Net Position</v>
      </c>
      <c r="C109" s="600" t="str">
        <f>'Unit Data from Audit Worksheet'!D120</f>
        <v>Change in Net Position</v>
      </c>
      <c r="D109" s="361"/>
      <c r="E109" s="151">
        <f>'Unit Data from Audit Worksheet'!F120</f>
        <v>0</v>
      </c>
      <c r="F109" s="47"/>
      <c r="G109" s="72"/>
      <c r="H109" s="354"/>
      <c r="I109" s="38"/>
      <c r="J109" s="42">
        <v>294</v>
      </c>
      <c r="K109" s="51" t="s">
        <v>1477</v>
      </c>
      <c r="L109" s="601">
        <f t="shared" si="9"/>
        <v>0</v>
      </c>
      <c r="P109" s="323"/>
      <c r="X109" s="598"/>
      <c r="Y109" s="598"/>
      <c r="Z109" s="3" t="s">
        <v>1468</v>
      </c>
    </row>
    <row r="110" spans="1:26" ht="78" customHeight="1" x14ac:dyDescent="0.3">
      <c r="A110" s="599">
        <f>'Unit Data from Audit Worksheet'!A123</f>
        <v>31</v>
      </c>
      <c r="B110" s="54" t="str">
        <f>'Unit Data from Audit Worksheet'!C123</f>
        <v>Combined Totals of all Proprietary Funds - Revenue, Expenses, Changes in Net Position</v>
      </c>
      <c r="C110" s="600" t="str">
        <f>'Unit Data from Audit Worksheet'!D123</f>
        <v>Combined Totals of all Proprietary Funds - Change in net position - (increase in net position is recorded as a positive and a decrease in net position is recorded as a negative)</v>
      </c>
      <c r="D110" s="361"/>
      <c r="E110" s="151">
        <f>'Unit Data from Audit Worksheet'!F123</f>
        <v>0</v>
      </c>
      <c r="F110" s="47"/>
      <c r="G110" s="72"/>
      <c r="H110" s="354"/>
      <c r="I110" s="38"/>
      <c r="J110" s="42">
        <v>31</v>
      </c>
      <c r="K110" s="51" t="s">
        <v>1459</v>
      </c>
      <c r="L110" s="601">
        <f t="shared" si="9"/>
        <v>0</v>
      </c>
      <c r="P110" s="323"/>
      <c r="X110" s="598"/>
      <c r="Y110" s="598"/>
    </row>
    <row r="111" spans="1:26" ht="60" customHeight="1" x14ac:dyDescent="0.3">
      <c r="A111" s="599" t="str">
        <f>'Unit Data from Audit Worksheet'!A124</f>
        <v>193</v>
      </c>
      <c r="B111" s="54" t="str">
        <f>'Unit Data from Audit Worksheet'!C124</f>
        <v>Combined Proprietary Funds - Change in Cash Flow Statement</v>
      </c>
      <c r="C111" s="600" t="str">
        <f>'Unit Data from Audit Worksheet'!D124</f>
        <v>Combined Totals of all Proprietary Funds - Capital Contributions</v>
      </c>
      <c r="D111" s="361"/>
      <c r="E111" s="151">
        <f>'Unit Data from Audit Worksheet'!F124</f>
        <v>0</v>
      </c>
      <c r="F111" s="47"/>
      <c r="G111" s="72"/>
      <c r="H111" s="354"/>
      <c r="I111" s="38"/>
      <c r="J111" s="42">
        <v>193</v>
      </c>
      <c r="K111" s="51" t="s">
        <v>383</v>
      </c>
      <c r="L111" s="601">
        <f t="shared" si="9"/>
        <v>0</v>
      </c>
      <c r="P111" s="323"/>
      <c r="X111" s="598"/>
      <c r="Y111" s="598"/>
    </row>
    <row r="112" spans="1:26" ht="60" customHeight="1" x14ac:dyDescent="0.3">
      <c r="A112" s="599" t="str">
        <f>'Unit Data from Audit Worksheet'!A125</f>
        <v>33</v>
      </c>
      <c r="B112" s="54" t="str">
        <f>'Unit Data from Audit Worksheet'!C125</f>
        <v>Combined Proprietary Funds - Change in Cash Flow Statement</v>
      </c>
      <c r="C112" s="600" t="str">
        <f>'Unit Data from Audit Worksheet'!D125</f>
        <v>Combined Totals of all Proprietary Funds - Cash Flow from Operating</v>
      </c>
      <c r="D112" s="361"/>
      <c r="E112" s="151">
        <f>'Unit Data from Audit Worksheet'!F125</f>
        <v>0</v>
      </c>
      <c r="F112" s="47"/>
      <c r="G112" s="72"/>
      <c r="H112" s="354"/>
      <c r="I112" s="38"/>
      <c r="J112" s="42">
        <v>33</v>
      </c>
      <c r="K112" s="51" t="s">
        <v>318</v>
      </c>
      <c r="L112" s="601">
        <f t="shared" si="9"/>
        <v>0</v>
      </c>
      <c r="P112" s="323"/>
      <c r="X112" s="598"/>
      <c r="Y112" s="598"/>
    </row>
    <row r="113" spans="1:26" ht="60" customHeight="1" x14ac:dyDescent="0.3">
      <c r="A113" s="599">
        <f>'Unit Data from Audit Worksheet'!A126</f>
        <v>104</v>
      </c>
      <c r="B113" s="54" t="str">
        <f>'Unit Data from Audit Worksheet'!C126</f>
        <v>Cash Flows</v>
      </c>
      <c r="C113" s="600" t="str">
        <f>'Unit Data from Audit Worksheet'!D126</f>
        <v>Capital Outlays</v>
      </c>
      <c r="D113" s="143"/>
      <c r="E113" s="151">
        <f>'Unit Data from Audit Worksheet'!F126</f>
        <v>0</v>
      </c>
      <c r="F113" s="47"/>
      <c r="G113" s="72"/>
      <c r="H113" s="354"/>
      <c r="I113" s="38"/>
      <c r="J113" s="42">
        <v>104</v>
      </c>
      <c r="K113" s="51" t="s">
        <v>1479</v>
      </c>
      <c r="L113" s="601">
        <f t="shared" si="9"/>
        <v>0</v>
      </c>
      <c r="P113" s="323"/>
      <c r="X113" s="598"/>
      <c r="Y113" s="598"/>
      <c r="Z113" s="3" t="s">
        <v>1468</v>
      </c>
    </row>
    <row r="114" spans="1:26" ht="60" customHeight="1" x14ac:dyDescent="0.3">
      <c r="A114" s="599">
        <f>'Unit Data from Audit Worksheet'!A127</f>
        <v>39</v>
      </c>
      <c r="B114" s="54" t="str">
        <f>'Unit Data from Audit Worksheet'!C127</f>
        <v>Cash Flows</v>
      </c>
      <c r="C114" s="600" t="str">
        <f>'Unit Data from Audit Worksheet'!D127</f>
        <v>Principal Paid - Long-term Debt</v>
      </c>
      <c r="D114" s="143"/>
      <c r="E114" s="151">
        <f>'Unit Data from Audit Worksheet'!F127</f>
        <v>0</v>
      </c>
      <c r="F114" s="47"/>
      <c r="G114" s="72"/>
      <c r="H114" s="354"/>
      <c r="I114" s="38"/>
      <c r="J114" s="42">
        <v>39</v>
      </c>
      <c r="K114" s="51" t="s">
        <v>1480</v>
      </c>
      <c r="L114" s="601">
        <f t="shared" si="9"/>
        <v>0</v>
      </c>
      <c r="P114" s="323"/>
      <c r="X114" s="598"/>
      <c r="Y114" s="598"/>
      <c r="Z114" s="3" t="s">
        <v>1468</v>
      </c>
    </row>
    <row r="115" spans="1:26" ht="60" customHeight="1" x14ac:dyDescent="0.3">
      <c r="A115" s="342">
        <f>'Unit Data from Audit Worksheet'!A131</f>
        <v>596</v>
      </c>
      <c r="B115" s="356"/>
      <c r="C115" s="341" t="str">
        <f>'Unit Data from Audit Worksheet'!D131</f>
        <v>Indicate if your water/sewer system:
50 - Became Operational
51 - Ceased Operations
52 - No Change</v>
      </c>
      <c r="D115" s="143"/>
      <c r="E115" s="362">
        <f>'Unit Data from Audit Worksheet'!F131</f>
        <v>0</v>
      </c>
      <c r="F115" s="355"/>
      <c r="G115" s="355"/>
      <c r="H115" s="354">
        <f>'Unit Data from Audit Worksheet'!I131</f>
        <v>0</v>
      </c>
      <c r="I115" s="38"/>
      <c r="J115" s="353">
        <v>596</v>
      </c>
      <c r="K115" s="352" t="s">
        <v>617</v>
      </c>
      <c r="L115" s="601">
        <f t="shared" si="9"/>
        <v>0</v>
      </c>
      <c r="P115" s="324"/>
      <c r="W115" s="3" t="b">
        <f t="shared" si="10"/>
        <v>1</v>
      </c>
      <c r="X115" s="598">
        <f t="shared" si="1"/>
        <v>0</v>
      </c>
      <c r="Y115" s="598">
        <f t="shared" si="2"/>
        <v>0</v>
      </c>
    </row>
    <row r="116" spans="1:26" ht="43.2" x14ac:dyDescent="0.3">
      <c r="A116" s="342">
        <f>'Unit Data from Audit Worksheet'!A132</f>
        <v>80</v>
      </c>
      <c r="B116" s="356" t="str">
        <f>'Unit Data from Audit Worksheet'!C132</f>
        <v>Water Sewer Net Position Statement</v>
      </c>
      <c r="C116" s="341" t="str">
        <f>'Unit Data from Audit Worksheet'!D132</f>
        <v>Unrestricted Cash and investments 
Exclude restricted cash and/or restricted investments.</v>
      </c>
      <c r="D116" s="143"/>
      <c r="E116" s="362">
        <f>'Unit Data from Audit Worksheet'!F132</f>
        <v>0</v>
      </c>
      <c r="F116" s="355">
        <f>IF(L116&lt;0,"Error: Number is normally positive.",)</f>
        <v>0</v>
      </c>
      <c r="G116" s="355" t="e">
        <f>'Unit Data from Audit Worksheet'!G132</f>
        <v>#N/A</v>
      </c>
      <c r="H116" s="354">
        <f>'Unit Data from Audit Worksheet'!I132</f>
        <v>0</v>
      </c>
      <c r="I116" s="38"/>
      <c r="J116" s="353">
        <v>80</v>
      </c>
      <c r="K116" s="352" t="s">
        <v>218</v>
      </c>
      <c r="L116" s="601">
        <f t="shared" si="9"/>
        <v>0</v>
      </c>
      <c r="P116" s="324"/>
      <c r="W116" s="3" t="b">
        <f t="shared" si="10"/>
        <v>1</v>
      </c>
      <c r="X116" s="598">
        <f t="shared" si="1"/>
        <v>0</v>
      </c>
      <c r="Y116" s="598">
        <f t="shared" si="2"/>
        <v>0</v>
      </c>
    </row>
    <row r="117" spans="1:26" ht="43.2" x14ac:dyDescent="0.3">
      <c r="A117" s="342">
        <f>'Unit Data from Audit Worksheet'!A133</f>
        <v>81</v>
      </c>
      <c r="B117" s="356" t="str">
        <f>'Unit Data from Audit Worksheet'!C133</f>
        <v>Water Sewer Net Position Statement</v>
      </c>
      <c r="C117" s="341" t="str">
        <f>'Unit Data from Audit Worksheet'!D133</f>
        <v>Customer accounts receivable (net of allowance accounts). 
Include both billed and unbilled amounts.</v>
      </c>
      <c r="D117" s="143"/>
      <c r="E117" s="362">
        <f>'Unit Data from Audit Worksheet'!F133</f>
        <v>0</v>
      </c>
      <c r="F117" s="355">
        <f>IF(L117&lt;0,"Error: Number is normally positive.",)</f>
        <v>0</v>
      </c>
      <c r="G117" s="357"/>
      <c r="H117" s="354">
        <f>'Unit Data from Audit Worksheet'!I133</f>
        <v>0</v>
      </c>
      <c r="I117" s="38"/>
      <c r="J117" s="353">
        <v>81</v>
      </c>
      <c r="K117" s="352" t="s">
        <v>219</v>
      </c>
      <c r="L117" s="601">
        <f t="shared" si="9"/>
        <v>0</v>
      </c>
      <c r="P117" s="324"/>
      <c r="W117" s="3" t="b">
        <f t="shared" si="10"/>
        <v>1</v>
      </c>
      <c r="X117" s="598">
        <f t="shared" ref="X117:X181" si="12">E117-L117</f>
        <v>0</v>
      </c>
      <c r="Y117" s="598">
        <f t="shared" ref="Y117:Y181" si="13">D117-L117</f>
        <v>0</v>
      </c>
    </row>
    <row r="118" spans="1:26" ht="68.25" customHeight="1" x14ac:dyDescent="0.3">
      <c r="A118" s="342">
        <f>'Unit Data from Audit Worksheet'!A134</f>
        <v>579</v>
      </c>
      <c r="B118" s="356" t="str">
        <f>'Unit Data from Audit Worksheet'!C134</f>
        <v>Water Sewer Net Position Statement</v>
      </c>
      <c r="C118" s="341" t="str">
        <f>'Unit Data from Audit Worksheet'!D134</f>
        <v>Water Sewer - Advance To:
Interfund loan receivable-portion of repayment plan longer than 12 months</v>
      </c>
      <c r="D118" s="143"/>
      <c r="E118" s="362">
        <f>'Unit Data from Audit Worksheet'!F134</f>
        <v>0</v>
      </c>
      <c r="F118" s="355"/>
      <c r="G118" s="357"/>
      <c r="H118" s="354"/>
      <c r="I118" s="38"/>
      <c r="J118" s="353">
        <v>579</v>
      </c>
      <c r="K118" s="352" t="s">
        <v>563</v>
      </c>
      <c r="L118" s="601">
        <f t="shared" si="9"/>
        <v>0</v>
      </c>
      <c r="N118" s="625"/>
      <c r="P118" s="324"/>
      <c r="W118" s="3" t="b">
        <f t="shared" si="10"/>
        <v>1</v>
      </c>
      <c r="X118" s="598">
        <f t="shared" si="12"/>
        <v>0</v>
      </c>
      <c r="Y118" s="598">
        <f t="shared" si="13"/>
        <v>0</v>
      </c>
    </row>
    <row r="119" spans="1:26" ht="47.25" customHeight="1" x14ac:dyDescent="0.3">
      <c r="A119" s="342">
        <f>'Unit Data from Audit Worksheet'!A135</f>
        <v>510</v>
      </c>
      <c r="B119" s="356" t="str">
        <f>'Unit Data from Audit Worksheet'!C135</f>
        <v>Water Sewer Net Position Statement</v>
      </c>
      <c r="C119" s="341" t="str">
        <f>'Unit Data from Audit Worksheet'!D135</f>
        <v>Amount of Inventories and Prepaid expenses in current assets</v>
      </c>
      <c r="D119" s="143"/>
      <c r="E119" s="362">
        <f>'Unit Data from Audit Worksheet'!F135</f>
        <v>0</v>
      </c>
      <c r="F119" s="355"/>
      <c r="G119" s="357"/>
      <c r="H119" s="354">
        <f>'Unit Data from Audit Worksheet'!I135</f>
        <v>0</v>
      </c>
      <c r="I119" s="38"/>
      <c r="J119" s="353">
        <v>510</v>
      </c>
      <c r="K119" s="352" t="s">
        <v>220</v>
      </c>
      <c r="L119" s="601">
        <f t="shared" si="9"/>
        <v>0</v>
      </c>
      <c r="P119" s="324"/>
      <c r="W119" s="3" t="b">
        <f t="shared" si="10"/>
        <v>1</v>
      </c>
      <c r="X119" s="598">
        <f t="shared" si="12"/>
        <v>0</v>
      </c>
      <c r="Y119" s="598">
        <f t="shared" si="13"/>
        <v>0</v>
      </c>
    </row>
    <row r="120" spans="1:26" ht="43.2" x14ac:dyDescent="0.3">
      <c r="A120" s="342">
        <f>'Unit Data from Audit Worksheet'!A136</f>
        <v>654</v>
      </c>
      <c r="B120" s="356" t="str">
        <f>'Unit Data from Audit Worksheet'!C136</f>
        <v>Water Sewer Net Position Statement</v>
      </c>
      <c r="C120" s="341" t="str">
        <f>'Unit Data from Audit Worksheet'!D136</f>
        <v xml:space="preserve">Total Current assets as listed on the WS Net Position Statement.  
</v>
      </c>
      <c r="D120" s="143"/>
      <c r="E120" s="362">
        <f>'Unit Data from Audit Worksheet'!F136</f>
        <v>0</v>
      </c>
      <c r="F120" s="355">
        <f>IF((+L116+L117+L119)&gt;L120,"Please review components of current assets above Acct. (80+81+510&gt;654",)</f>
        <v>0</v>
      </c>
      <c r="G120" s="357" t="str">
        <f>IF(Q120=1," Included in error count"," ")</f>
        <v xml:space="preserve"> </v>
      </c>
      <c r="H120" s="354">
        <f>'Unit Data from Audit Worksheet'!I136</f>
        <v>0</v>
      </c>
      <c r="I120" s="38"/>
      <c r="J120" s="353">
        <v>654</v>
      </c>
      <c r="K120" s="359" t="s">
        <v>816</v>
      </c>
      <c r="L120" s="601">
        <f t="shared" si="9"/>
        <v>0</v>
      </c>
      <c r="P120" s="324"/>
      <c r="Q120" s="591">
        <f>IF((+L116+L117+L119)&gt;L120,1,0)</f>
        <v>0</v>
      </c>
      <c r="W120" s="3" t="b">
        <f t="shared" si="10"/>
        <v>1</v>
      </c>
      <c r="X120" s="598">
        <f t="shared" si="12"/>
        <v>0</v>
      </c>
      <c r="Y120" s="598">
        <f t="shared" si="13"/>
        <v>0</v>
      </c>
    </row>
    <row r="121" spans="1:26" ht="43.2" x14ac:dyDescent="0.3">
      <c r="A121" s="342">
        <f>'Unit Data from Audit Worksheet'!A137</f>
        <v>655</v>
      </c>
      <c r="B121" s="356" t="str">
        <f>'Unit Data from Audit Worksheet'!C137</f>
        <v>Water Sewer Net Position Statement</v>
      </c>
      <c r="C121" s="341" t="str">
        <f>'Unit Data from Audit Worksheet'!D137</f>
        <v>WS-Any current assets that are restricted (Cash, Accounts Rec., etc..) and included in account 654 above</v>
      </c>
      <c r="D121" s="143"/>
      <c r="E121" s="362">
        <f>'Unit Data from Audit Worksheet'!F137</f>
        <v>0</v>
      </c>
      <c r="F121" s="355"/>
      <c r="G121" s="357"/>
      <c r="H121" s="354"/>
      <c r="I121" s="38"/>
      <c r="J121" s="353">
        <v>655</v>
      </c>
      <c r="K121" s="359" t="s">
        <v>938</v>
      </c>
      <c r="L121" s="601">
        <f t="shared" si="9"/>
        <v>0</v>
      </c>
      <c r="P121" s="324"/>
      <c r="W121" s="3" t="b">
        <f t="shared" si="10"/>
        <v>1</v>
      </c>
      <c r="X121" s="598">
        <f t="shared" si="12"/>
        <v>0</v>
      </c>
      <c r="Y121" s="598">
        <f t="shared" si="13"/>
        <v>0</v>
      </c>
    </row>
    <row r="122" spans="1:26" ht="42.75" customHeight="1" x14ac:dyDescent="0.3">
      <c r="A122" s="342">
        <f>'Unit Data from Audit Worksheet'!A138</f>
        <v>381</v>
      </c>
      <c r="B122" s="356" t="str">
        <f>'Unit Data from Audit Worksheet'!C138</f>
        <v>Water Sewer Net Position Statement</v>
      </c>
      <c r="C122" s="341" t="str">
        <f>'Unit Data from Audit Worksheet'!D138</f>
        <v>Total Assets and deferred outflows</v>
      </c>
      <c r="D122" s="143"/>
      <c r="E122" s="362">
        <f>'Unit Data from Audit Worksheet'!F138</f>
        <v>0</v>
      </c>
      <c r="F122" s="355" t="str">
        <f>IF(L122&lt;L120,"Please review components of current assets above acct. 381&lt;654"," ")</f>
        <v xml:space="preserve"> </v>
      </c>
      <c r="G122" s="357" t="str">
        <f>IF(Q122=1," Included in error count"," ")</f>
        <v xml:space="preserve"> </v>
      </c>
      <c r="H122" s="354">
        <f>'Unit Data from Audit Worksheet'!I138</f>
        <v>0</v>
      </c>
      <c r="I122" s="38"/>
      <c r="J122" s="353">
        <v>381</v>
      </c>
      <c r="K122" s="352" t="s">
        <v>113</v>
      </c>
      <c r="L122" s="601">
        <f t="shared" si="9"/>
        <v>0</v>
      </c>
      <c r="P122" s="324"/>
      <c r="Q122" s="591">
        <f>IF(L122&lt;L120,1,0)</f>
        <v>0</v>
      </c>
      <c r="W122" s="3" t="b">
        <f t="shared" si="10"/>
        <v>1</v>
      </c>
      <c r="X122" s="598">
        <f t="shared" si="12"/>
        <v>0</v>
      </c>
      <c r="Y122" s="598">
        <f t="shared" si="13"/>
        <v>0</v>
      </c>
    </row>
    <row r="123" spans="1:26" ht="60.75" customHeight="1" x14ac:dyDescent="0.3">
      <c r="A123" s="613">
        <f>'Unit Data from Audit Worksheet'!A139</f>
        <v>578</v>
      </c>
      <c r="B123" s="116" t="str">
        <f>'Unit Data from Audit Worksheet'!C139</f>
        <v>Water Sewer Net Position Statement</v>
      </c>
      <c r="C123" s="603" t="str">
        <f>'Unit Data from Audit Worksheet'!D139</f>
        <v>Water Sewer - Advance From: 
Interfund loan Payable-portion of repayment plan longer than 12 months</v>
      </c>
      <c r="D123" s="109"/>
      <c r="E123" s="154">
        <f>'Unit Data from Audit Worksheet'!F139</f>
        <v>0</v>
      </c>
      <c r="F123" s="110"/>
      <c r="G123" s="111"/>
      <c r="H123" s="112"/>
      <c r="I123" s="38"/>
      <c r="J123" s="104">
        <v>578</v>
      </c>
      <c r="K123" s="44" t="s">
        <v>564</v>
      </c>
      <c r="L123" s="601">
        <f t="shared" si="9"/>
        <v>0</v>
      </c>
      <c r="P123" s="325"/>
      <c r="Q123" s="358"/>
      <c r="W123" s="3" t="b">
        <f t="shared" si="10"/>
        <v>1</v>
      </c>
      <c r="X123" s="598">
        <f t="shared" si="12"/>
        <v>0</v>
      </c>
      <c r="Y123" s="598">
        <f t="shared" si="13"/>
        <v>0</v>
      </c>
    </row>
    <row r="124" spans="1:26" s="18" customFormat="1" ht="104.25" customHeight="1" x14ac:dyDescent="0.3">
      <c r="A124" s="315">
        <v>633</v>
      </c>
      <c r="B124" s="369" t="str">
        <f>'Unit Data from Audit Worksheet'!C140</f>
        <v>Water Sewer Net Position Statement</v>
      </c>
      <c r="C124" s="315" t="str">
        <f>'Unit Data from Audit Worksheet'!D140</f>
        <v>Current liabilities (as reported on the Statement of Fund Net Position)
Include:   Current liabilities including current portion of long-term debt.  Deferred inflows should not be included in Current Liabilities  
Enter as positive</v>
      </c>
      <c r="D124" s="109"/>
      <c r="E124" s="368">
        <f>'Unit Data from Audit Worksheet'!F140</f>
        <v>0</v>
      </c>
      <c r="F124" s="350" t="str">
        <f>IF(L124&gt;=(L125+L126+L127+L128+L129+L130),"","Account 633 is less than the total sum of accounts 634 through 638 + 383")</f>
        <v/>
      </c>
      <c r="G124" s="335">
        <f>L124-(L125+L126+L127+L128+L129+L130)</f>
        <v>0</v>
      </c>
      <c r="H124" s="350"/>
      <c r="I124" s="614"/>
      <c r="J124" s="349">
        <v>633</v>
      </c>
      <c r="K124" s="318" t="s">
        <v>744</v>
      </c>
      <c r="L124" s="615">
        <f>IF(D124="",E124,D124)</f>
        <v>0</v>
      </c>
      <c r="M124" s="605"/>
      <c r="N124" s="605"/>
      <c r="O124" s="605"/>
      <c r="P124" s="326"/>
      <c r="Q124" s="606"/>
      <c r="R124" s="3"/>
      <c r="S124" s="605"/>
      <c r="T124" s="605"/>
      <c r="U124" s="605"/>
      <c r="V124" s="605"/>
      <c r="W124" s="18" t="b">
        <f t="shared" si="10"/>
        <v>1</v>
      </c>
      <c r="X124" s="607">
        <f t="shared" si="12"/>
        <v>0</v>
      </c>
      <c r="Y124" s="607">
        <f t="shared" si="13"/>
        <v>0</v>
      </c>
    </row>
    <row r="125" spans="1:26" s="18" customFormat="1" ht="130.5" customHeight="1" x14ac:dyDescent="0.3">
      <c r="A125" s="315">
        <v>634</v>
      </c>
      <c r="B125" s="369" t="str">
        <f>'Unit Data from Audit Worksheet'!C141</f>
        <v>Water Sewer Net Position Statement</v>
      </c>
      <c r="C125" s="315"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09"/>
      <c r="E125" s="368">
        <f>'Unit Data from Audit Worksheet'!F141</f>
        <v>0</v>
      </c>
      <c r="F125" s="350"/>
      <c r="G125" s="335"/>
      <c r="H125" s="350"/>
      <c r="I125" s="614"/>
      <c r="J125" s="349">
        <v>634</v>
      </c>
      <c r="K125" s="318" t="s">
        <v>745</v>
      </c>
      <c r="L125" s="615">
        <f>IF(D125="",E125,D125)</f>
        <v>0</v>
      </c>
      <c r="M125" s="605"/>
      <c r="N125" s="605"/>
      <c r="O125" s="605"/>
      <c r="P125" s="326"/>
      <c r="Q125" s="606"/>
      <c r="R125" s="3"/>
      <c r="S125" s="605"/>
      <c r="T125" s="605"/>
      <c r="U125" s="605"/>
      <c r="V125" s="605"/>
      <c r="W125" s="18" t="b">
        <f t="shared" si="10"/>
        <v>1</v>
      </c>
      <c r="X125" s="607">
        <f t="shared" si="12"/>
        <v>0</v>
      </c>
      <c r="Y125" s="607">
        <f t="shared" si="13"/>
        <v>0</v>
      </c>
    </row>
    <row r="126" spans="1:26" s="18" customFormat="1" ht="105.75" customHeight="1" x14ac:dyDescent="0.3">
      <c r="A126" s="315">
        <v>635</v>
      </c>
      <c r="B126" s="369" t="str">
        <f>'Unit Data from Audit Worksheet'!C142</f>
        <v>Water Sewer Net Position Statement</v>
      </c>
      <c r="C126" s="315"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09"/>
      <c r="E126" s="368">
        <f>'Unit Data from Audit Worksheet'!F142</f>
        <v>0</v>
      </c>
      <c r="F126" s="350"/>
      <c r="G126" s="335"/>
      <c r="H126" s="350"/>
      <c r="I126" s="614"/>
      <c r="J126" s="349">
        <v>635</v>
      </c>
      <c r="K126" s="318" t="s">
        <v>746</v>
      </c>
      <c r="L126" s="615">
        <f>IF(D126="",E126,D126)</f>
        <v>0</v>
      </c>
      <c r="M126" s="605"/>
      <c r="N126" s="605"/>
      <c r="O126" s="605"/>
      <c r="P126" s="326"/>
      <c r="Q126" s="606"/>
      <c r="R126" s="3"/>
      <c r="S126" s="605"/>
      <c r="T126" s="605"/>
      <c r="U126" s="605"/>
      <c r="V126" s="605"/>
      <c r="W126" s="18" t="b">
        <f t="shared" si="10"/>
        <v>1</v>
      </c>
      <c r="X126" s="607">
        <f t="shared" si="12"/>
        <v>0</v>
      </c>
      <c r="Y126" s="607">
        <f t="shared" si="13"/>
        <v>0</v>
      </c>
    </row>
    <row r="127" spans="1:26" s="18" customFormat="1" ht="105.75" customHeight="1" x14ac:dyDescent="0.3">
      <c r="A127" s="315">
        <v>636</v>
      </c>
      <c r="B127" s="369" t="str">
        <f>'Unit Data from Audit Worksheet'!C143</f>
        <v>Water Sewer Net Position Statement</v>
      </c>
      <c r="C127" s="315"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09"/>
      <c r="E127" s="368">
        <f>'Unit Data from Audit Worksheet'!F143</f>
        <v>0</v>
      </c>
      <c r="F127" s="350"/>
      <c r="G127" s="335"/>
      <c r="H127" s="350"/>
      <c r="I127" s="614"/>
      <c r="J127" s="349">
        <v>636</v>
      </c>
      <c r="K127" s="318" t="s">
        <v>741</v>
      </c>
      <c r="L127" s="615">
        <f t="shared" ref="L127:L137" si="14">IF(D127="",E127,D127)</f>
        <v>0</v>
      </c>
      <c r="M127" s="605"/>
      <c r="N127" s="605"/>
      <c r="O127" s="605"/>
      <c r="P127" s="326"/>
      <c r="Q127" s="606"/>
      <c r="R127" s="3"/>
      <c r="S127" s="605"/>
      <c r="T127" s="605"/>
      <c r="U127" s="605"/>
      <c r="V127" s="605"/>
      <c r="W127" s="18" t="b">
        <f t="shared" si="10"/>
        <v>1</v>
      </c>
      <c r="X127" s="607">
        <f t="shared" si="12"/>
        <v>0</v>
      </c>
      <c r="Y127" s="607">
        <f t="shared" si="13"/>
        <v>0</v>
      </c>
    </row>
    <row r="128" spans="1:26" s="18" customFormat="1" ht="59.25" customHeight="1" x14ac:dyDescent="0.3">
      <c r="A128" s="315">
        <v>637</v>
      </c>
      <c r="B128" s="369" t="str">
        <f>'Unit Data from Audit Worksheet'!C144</f>
        <v>Water Sewer Net Position Statement</v>
      </c>
      <c r="C128" s="315" t="str">
        <f>'Unit Data from Audit Worksheet'!D144</f>
        <v>Please enter any current liabilities that are payable from restricted assets and included in account 633 above.
Enter as positive</v>
      </c>
      <c r="D128" s="109"/>
      <c r="E128" s="368">
        <f>'Unit Data from Audit Worksheet'!F144</f>
        <v>0</v>
      </c>
      <c r="F128" s="350"/>
      <c r="G128" s="335"/>
      <c r="H128" s="350"/>
      <c r="I128" s="614"/>
      <c r="J128" s="349">
        <v>637</v>
      </c>
      <c r="K128" s="318" t="s">
        <v>742</v>
      </c>
      <c r="L128" s="615">
        <f t="shared" si="14"/>
        <v>0</v>
      </c>
      <c r="M128" s="605"/>
      <c r="N128" s="605"/>
      <c r="O128" s="605"/>
      <c r="P128" s="326"/>
      <c r="Q128" s="606"/>
      <c r="R128" s="3"/>
      <c r="S128" s="605"/>
      <c r="T128" s="605"/>
      <c r="U128" s="605"/>
      <c r="V128" s="605"/>
      <c r="W128" s="18" t="b">
        <f t="shared" si="10"/>
        <v>1</v>
      </c>
      <c r="X128" s="607">
        <f t="shared" si="12"/>
        <v>0</v>
      </c>
      <c r="Y128" s="607">
        <f t="shared" si="13"/>
        <v>0</v>
      </c>
    </row>
    <row r="129" spans="1:25" s="18" customFormat="1" ht="103.5" customHeight="1" x14ac:dyDescent="0.3">
      <c r="A129" s="315">
        <v>638</v>
      </c>
      <c r="B129" s="369" t="str">
        <f>'Unit Data from Audit Worksheet'!C145</f>
        <v>Water Sewer Net Position Statement</v>
      </c>
      <c r="C129" s="315"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09"/>
      <c r="E129" s="368">
        <f>'Unit Data from Audit Worksheet'!F145</f>
        <v>0</v>
      </c>
      <c r="F129" s="350"/>
      <c r="G129" s="335"/>
      <c r="H129" s="350"/>
      <c r="I129" s="614"/>
      <c r="J129" s="349">
        <v>638</v>
      </c>
      <c r="K129" s="318" t="s">
        <v>747</v>
      </c>
      <c r="L129" s="615">
        <f t="shared" si="14"/>
        <v>0</v>
      </c>
      <c r="M129" s="605"/>
      <c r="N129" s="605"/>
      <c r="O129" s="605"/>
      <c r="P129" s="326"/>
      <c r="Q129" s="606"/>
      <c r="R129" s="3"/>
      <c r="S129" s="605"/>
      <c r="T129" s="605"/>
      <c r="U129" s="605"/>
      <c r="V129" s="605"/>
      <c r="W129" s="18" t="b">
        <f t="shared" si="10"/>
        <v>1</v>
      </c>
      <c r="X129" s="607">
        <f t="shared" si="12"/>
        <v>0</v>
      </c>
      <c r="Y129" s="607">
        <f t="shared" si="13"/>
        <v>0</v>
      </c>
    </row>
    <row r="130" spans="1:25" ht="76.5" customHeight="1" x14ac:dyDescent="0.3">
      <c r="A130" s="599">
        <f>'Unit Data from Audit Worksheet'!A146</f>
        <v>383</v>
      </c>
      <c r="B130" s="54" t="str">
        <f>'Unit Data from Audit Worksheet'!C146</f>
        <v>Water Sewer Net Position Statement</v>
      </c>
      <c r="C130" s="600" t="str">
        <f>'Unit Data from Audit Worksheet'!D146</f>
        <v>Unearned revenue (arising from cash receipts) that were included in Current Liabilities in the question in account 633 above.
Enter as positive</v>
      </c>
      <c r="D130" s="143"/>
      <c r="E130" s="151">
        <f>'Unit Data from Audit Worksheet'!F146</f>
        <v>0</v>
      </c>
      <c r="F130" s="47">
        <f>IF(L130&lt;0,"Error: Enter as a positive.",)</f>
        <v>0</v>
      </c>
      <c r="G130" s="72"/>
      <c r="H130" s="354">
        <f>'Unit Data from Audit Worksheet'!I146</f>
        <v>0</v>
      </c>
      <c r="I130" s="38"/>
      <c r="J130" s="42">
        <v>383</v>
      </c>
      <c r="K130" s="51" t="s">
        <v>221</v>
      </c>
      <c r="L130" s="601">
        <f t="shared" si="14"/>
        <v>0</v>
      </c>
      <c r="P130" s="323"/>
      <c r="W130" s="3" t="b">
        <f t="shared" si="10"/>
        <v>1</v>
      </c>
      <c r="X130" s="598">
        <f t="shared" si="12"/>
        <v>0</v>
      </c>
      <c r="Y130" s="598">
        <f t="shared" si="13"/>
        <v>0</v>
      </c>
    </row>
    <row r="131" spans="1:25" ht="54" customHeight="1" x14ac:dyDescent="0.3">
      <c r="A131" s="342">
        <f>'Unit Data from Audit Worksheet'!A147</f>
        <v>349</v>
      </c>
      <c r="B131" s="356" t="str">
        <f>'Unit Data from Audit Worksheet'!C147</f>
        <v>Water Sewer Net Position Statement</v>
      </c>
      <c r="C131" s="341" t="str">
        <f>'Unit Data from Audit Worksheet'!D147</f>
        <v>Total Liabilities and deferred inflows</v>
      </c>
      <c r="D131" s="143"/>
      <c r="E131" s="362">
        <f>'Unit Data from Audit Worksheet'!F147</f>
        <v>0</v>
      </c>
      <c r="F131" s="355">
        <f>IF(L124&gt;L131,"Error: Please review accts 633&gt;349",)</f>
        <v>0</v>
      </c>
      <c r="G131" s="357" t="str">
        <f>IF(Q131=1," Included in error count"," ")</f>
        <v xml:space="preserve"> </v>
      </c>
      <c r="H131" s="354">
        <f>'Unit Data from Audit Worksheet'!I147</f>
        <v>0</v>
      </c>
      <c r="I131" s="38"/>
      <c r="J131" s="353">
        <v>349</v>
      </c>
      <c r="K131" s="352" t="s">
        <v>122</v>
      </c>
      <c r="L131" s="601">
        <f t="shared" si="14"/>
        <v>0</v>
      </c>
      <c r="P131" s="324"/>
      <c r="Q131" s="591">
        <f>IF(L124&gt;L131,1,0)</f>
        <v>0</v>
      </c>
      <c r="W131" s="3" t="b">
        <f t="shared" si="10"/>
        <v>1</v>
      </c>
      <c r="X131" s="598">
        <f t="shared" si="12"/>
        <v>0</v>
      </c>
      <c r="Y131" s="598">
        <f t="shared" si="13"/>
        <v>0</v>
      </c>
    </row>
    <row r="132" spans="1:25" ht="56.25" customHeight="1" x14ac:dyDescent="0.3">
      <c r="A132" s="342">
        <f>'Unit Data from Audit Worksheet'!A148</f>
        <v>375</v>
      </c>
      <c r="B132" s="356" t="str">
        <f>'Unit Data from Audit Worksheet'!C148</f>
        <v>Water Sewer Net Position Statement</v>
      </c>
      <c r="C132" s="341" t="str">
        <f>'Unit Data from Audit Worksheet'!D148</f>
        <v>Total Net position, Unrestricted - enter negative unrestricted net position as a negative</v>
      </c>
      <c r="D132" s="143"/>
      <c r="E132" s="362">
        <f>'Unit Data from Audit Worksheet'!F148</f>
        <v>0</v>
      </c>
      <c r="F132" s="355"/>
      <c r="G132" s="357"/>
      <c r="H132" s="354">
        <f>'Unit Data from Audit Worksheet'!I148</f>
        <v>0</v>
      </c>
      <c r="I132" s="38"/>
      <c r="J132" s="353">
        <v>375</v>
      </c>
      <c r="K132" s="352" t="s">
        <v>222</v>
      </c>
      <c r="L132" s="601">
        <f t="shared" si="14"/>
        <v>0</v>
      </c>
      <c r="P132" s="324"/>
      <c r="W132" s="3" t="b">
        <f t="shared" si="10"/>
        <v>1</v>
      </c>
      <c r="X132" s="598">
        <f t="shared" si="12"/>
        <v>0</v>
      </c>
      <c r="Y132" s="598">
        <f t="shared" si="13"/>
        <v>0</v>
      </c>
    </row>
    <row r="133" spans="1:25" ht="56.25" customHeight="1" x14ac:dyDescent="0.3">
      <c r="A133" s="342">
        <f>'Unit Data from Audit Worksheet'!A149</f>
        <v>83</v>
      </c>
      <c r="B133" s="356" t="str">
        <f>'Unit Data from Audit Worksheet'!C149</f>
        <v>Water Sewer Net Position Statement</v>
      </c>
      <c r="C133" s="341" t="str">
        <f>'Unit Data from Audit Worksheet'!D149</f>
        <v>Total Net position</v>
      </c>
      <c r="D133" s="143"/>
      <c r="E133" s="362">
        <f>'Unit Data from Audit Worksheet'!F149</f>
        <v>0</v>
      </c>
      <c r="F133" s="355">
        <f>IF(+L122-L131-L133=0,,"Error: Total assets less total liabilities do not equal net position acct 381-349-83=0")</f>
        <v>0</v>
      </c>
      <c r="G133" s="91">
        <f>L122-L131-L133</f>
        <v>0</v>
      </c>
      <c r="H133" s="354">
        <f>'Unit Data from Audit Worksheet'!I149</f>
        <v>0</v>
      </c>
      <c r="I133" s="38"/>
      <c r="J133" s="353">
        <v>83</v>
      </c>
      <c r="K133" s="352" t="s">
        <v>102</v>
      </c>
      <c r="L133" s="601">
        <f t="shared" si="14"/>
        <v>0</v>
      </c>
      <c r="O133" s="609" t="e">
        <f>'Unit Data from Audit Worksheet'!E149</f>
        <v>#N/A</v>
      </c>
      <c r="P133" s="324"/>
      <c r="Q133" s="591">
        <f>IF(G133&lt;&gt;0,1,0)</f>
        <v>0</v>
      </c>
      <c r="W133" s="3" t="b">
        <f t="shared" ref="W133:W164" si="15">EXACT(A133,J133)</f>
        <v>1</v>
      </c>
      <c r="X133" s="598">
        <f t="shared" si="12"/>
        <v>0</v>
      </c>
      <c r="Y133" s="598">
        <f t="shared" si="13"/>
        <v>0</v>
      </c>
    </row>
    <row r="134" spans="1:25" ht="56.25" customHeight="1" x14ac:dyDescent="0.3">
      <c r="A134" s="342">
        <f>'Unit Data from Audit Worksheet'!A151</f>
        <v>90</v>
      </c>
      <c r="B134" s="356" t="str">
        <f>'Unit Data from Audit Worksheet'!C151</f>
        <v>Electric Fund Net Position Statement</v>
      </c>
      <c r="C134" s="341" t="str">
        <f>'Unit Data from Audit Worksheet'!D151</f>
        <v>All Unrestricted Cash and Investments.  
Exclude any restricted cash and investments.</v>
      </c>
      <c r="D134" s="143"/>
      <c r="E134" s="362">
        <f>'Unit Data from Audit Worksheet'!F151</f>
        <v>0</v>
      </c>
      <c r="F134" s="355">
        <f>IF(L134&lt;0,"Error: Number is normally positive.",)</f>
        <v>0</v>
      </c>
      <c r="G134" s="357"/>
      <c r="H134" s="354">
        <f>'Unit Data from Audit Worksheet'!I151</f>
        <v>0</v>
      </c>
      <c r="I134" s="38"/>
      <c r="J134" s="353">
        <v>90</v>
      </c>
      <c r="K134" s="352" t="s">
        <v>223</v>
      </c>
      <c r="L134" s="601">
        <f t="shared" si="14"/>
        <v>0</v>
      </c>
      <c r="P134" s="324"/>
      <c r="W134" s="3" t="b">
        <f t="shared" si="15"/>
        <v>1</v>
      </c>
      <c r="X134" s="598">
        <f t="shared" si="12"/>
        <v>0</v>
      </c>
      <c r="Y134" s="598">
        <f t="shared" si="13"/>
        <v>0</v>
      </c>
    </row>
    <row r="135" spans="1:25" ht="56.25" customHeight="1" x14ac:dyDescent="0.3">
      <c r="A135" s="342">
        <f>'Unit Data from Audit Worksheet'!A152</f>
        <v>91</v>
      </c>
      <c r="B135" s="356" t="str">
        <f>'Unit Data from Audit Worksheet'!C152</f>
        <v>Electric Fund Net Position Statement</v>
      </c>
      <c r="C135" s="341" t="str">
        <f>'Unit Data from Audit Worksheet'!D152</f>
        <v xml:space="preserve">Customer accounts receivable (net of allowance accounts)
Include billed and unbilled amounts </v>
      </c>
      <c r="D135" s="143"/>
      <c r="E135" s="362">
        <f>'Unit Data from Audit Worksheet'!F152</f>
        <v>0</v>
      </c>
      <c r="F135" s="355">
        <f>IF(L135&lt;0,"Error: Number is normally positive.",)</f>
        <v>0</v>
      </c>
      <c r="G135" s="357"/>
      <c r="H135" s="354">
        <f>'Unit Data from Audit Worksheet'!I152</f>
        <v>0</v>
      </c>
      <c r="I135" s="38"/>
      <c r="J135" s="353">
        <v>91</v>
      </c>
      <c r="K135" s="352" t="s">
        <v>224</v>
      </c>
      <c r="L135" s="601">
        <f t="shared" si="14"/>
        <v>0</v>
      </c>
      <c r="P135" s="324"/>
      <c r="W135" s="3" t="b">
        <f t="shared" si="15"/>
        <v>1</v>
      </c>
      <c r="X135" s="598">
        <f t="shared" si="12"/>
        <v>0</v>
      </c>
      <c r="Y135" s="598">
        <f t="shared" si="13"/>
        <v>0</v>
      </c>
    </row>
    <row r="136" spans="1:25" ht="56.25" customHeight="1" x14ac:dyDescent="0.3">
      <c r="A136" s="342">
        <f>'Unit Data from Audit Worksheet'!A153</f>
        <v>581</v>
      </c>
      <c r="B136" s="356" t="str">
        <f>'Unit Data from Audit Worksheet'!C153</f>
        <v>Electric Fund Net Position Statement</v>
      </c>
      <c r="C136" s="341" t="str">
        <f>'Unit Data from Audit Worksheet'!D153</f>
        <v>Electric Fund - Advance To:
Interfund loan receivable-portion of repayment plan longer than 12 months</v>
      </c>
      <c r="D136" s="143"/>
      <c r="E136" s="362">
        <f>'Unit Data from Audit Worksheet'!F153</f>
        <v>0</v>
      </c>
      <c r="F136" s="355"/>
      <c r="G136" s="357"/>
      <c r="H136" s="354"/>
      <c r="I136" s="38"/>
      <c r="J136" s="353">
        <v>581</v>
      </c>
      <c r="K136" s="352" t="s">
        <v>565</v>
      </c>
      <c r="L136" s="601">
        <f t="shared" si="14"/>
        <v>0</v>
      </c>
      <c r="P136" s="324"/>
      <c r="W136" s="3" t="b">
        <f t="shared" si="15"/>
        <v>1</v>
      </c>
      <c r="X136" s="598">
        <f t="shared" si="12"/>
        <v>0</v>
      </c>
      <c r="Y136" s="598">
        <f t="shared" si="13"/>
        <v>0</v>
      </c>
    </row>
    <row r="137" spans="1:25" ht="56.25" customHeight="1" x14ac:dyDescent="0.3">
      <c r="A137" s="342">
        <f>'Unit Data from Audit Worksheet'!A154</f>
        <v>511</v>
      </c>
      <c r="B137" s="356" t="str">
        <f>'Unit Data from Audit Worksheet'!C154</f>
        <v>Electric Fund Net Position Statement</v>
      </c>
      <c r="C137" s="341" t="str">
        <f>'Unit Data from Audit Worksheet'!D154</f>
        <v>Amount of inventories and prepaids</v>
      </c>
      <c r="D137" s="143"/>
      <c r="E137" s="362">
        <f>'Unit Data from Audit Worksheet'!F154</f>
        <v>0</v>
      </c>
      <c r="F137" s="355">
        <f t="shared" ref="F137:F142" si="16">IF(L137&lt;0,"Error: Number is normally positive.",)</f>
        <v>0</v>
      </c>
      <c r="G137" s="357"/>
      <c r="H137" s="354">
        <f>'Unit Data from Audit Worksheet'!I154</f>
        <v>0</v>
      </c>
      <c r="I137" s="38"/>
      <c r="J137" s="353">
        <v>511</v>
      </c>
      <c r="K137" s="352" t="s">
        <v>225</v>
      </c>
      <c r="L137" s="601">
        <f t="shared" si="14"/>
        <v>0</v>
      </c>
      <c r="P137" s="324"/>
      <c r="W137" s="3" t="b">
        <f t="shared" si="15"/>
        <v>1</v>
      </c>
      <c r="X137" s="598">
        <f t="shared" si="12"/>
        <v>0</v>
      </c>
      <c r="Y137" s="598">
        <f t="shared" si="13"/>
        <v>0</v>
      </c>
    </row>
    <row r="138" spans="1:25" ht="62.25" customHeight="1" x14ac:dyDescent="0.3">
      <c r="A138" s="342">
        <f>'Unit Data from Audit Worksheet'!A155</f>
        <v>657</v>
      </c>
      <c r="B138" s="356" t="str">
        <f>'Unit Data from Audit Worksheet'!C155</f>
        <v>Electric Fund Net Position Statement</v>
      </c>
      <c r="C138" s="341" t="str">
        <f>'Unit Data from Audit Worksheet'!D155</f>
        <v xml:space="preserve">Total Current assets as listed on the Electric Net Position Statement.  
</v>
      </c>
      <c r="D138" s="143"/>
      <c r="E138" s="362">
        <f>'Unit Data from Audit Worksheet'!F155</f>
        <v>0</v>
      </c>
      <c r="F138" s="355">
        <f t="shared" si="16"/>
        <v>0</v>
      </c>
      <c r="G138" s="357"/>
      <c r="H138" s="354">
        <f>'Unit Data from Audit Worksheet'!I155</f>
        <v>0</v>
      </c>
      <c r="I138" s="38"/>
      <c r="J138" s="353">
        <v>657</v>
      </c>
      <c r="K138" s="352" t="s">
        <v>821</v>
      </c>
      <c r="L138" s="615">
        <f>IF(D138="",E138,D138)</f>
        <v>0</v>
      </c>
      <c r="P138" s="324"/>
      <c r="Q138" s="591">
        <f>IF((L134+L135+L137)&gt;L140,1,0)</f>
        <v>0</v>
      </c>
      <c r="W138" s="3" t="b">
        <f t="shared" si="15"/>
        <v>1</v>
      </c>
      <c r="X138" s="598">
        <f t="shared" si="12"/>
        <v>0</v>
      </c>
      <c r="Y138" s="598">
        <f t="shared" si="13"/>
        <v>0</v>
      </c>
    </row>
    <row r="139" spans="1:25" ht="62.25" customHeight="1" x14ac:dyDescent="0.3">
      <c r="A139" s="342">
        <f>'Unit Data from Audit Worksheet'!A156</f>
        <v>658</v>
      </c>
      <c r="B139" s="356" t="str">
        <f>'Unit Data from Audit Worksheet'!C156</f>
        <v>Electric Fund Net Position Statement</v>
      </c>
      <c r="C139" s="341" t="str">
        <f>'Unit Data from Audit Worksheet'!D156</f>
        <v>Electric-Any current assets that are restricted (Cash, Accounts Rec., etc..) and included in account 657 above</v>
      </c>
      <c r="D139" s="143"/>
      <c r="E139" s="362">
        <f>'Unit Data from Audit Worksheet'!F156</f>
        <v>0</v>
      </c>
      <c r="F139" s="355">
        <f t="shared" si="16"/>
        <v>0</v>
      </c>
      <c r="G139" s="357"/>
      <c r="H139" s="354"/>
      <c r="I139" s="38"/>
      <c r="J139" s="353">
        <v>658</v>
      </c>
      <c r="K139" s="352" t="s">
        <v>937</v>
      </c>
      <c r="L139" s="615">
        <f>IF(D139="",E139,D139)</f>
        <v>0</v>
      </c>
      <c r="P139" s="324"/>
      <c r="W139" s="3" t="b">
        <f t="shared" si="15"/>
        <v>1</v>
      </c>
      <c r="X139" s="598">
        <f t="shared" si="12"/>
        <v>0</v>
      </c>
      <c r="Y139" s="598">
        <f t="shared" si="13"/>
        <v>0</v>
      </c>
    </row>
    <row r="140" spans="1:25" ht="39.75" customHeight="1" x14ac:dyDescent="0.3">
      <c r="A140" s="342">
        <f>'Unit Data from Audit Worksheet'!A157</f>
        <v>382</v>
      </c>
      <c r="B140" s="356" t="str">
        <f>'Unit Data from Audit Worksheet'!C157</f>
        <v>Electric Fund Net Position Statement</v>
      </c>
      <c r="C140" s="341" t="str">
        <f>'Unit Data from Audit Worksheet'!D157</f>
        <v>Total Assets and deferred outflows</v>
      </c>
      <c r="D140" s="143"/>
      <c r="E140" s="362">
        <f>'Unit Data from Audit Worksheet'!F157</f>
        <v>0</v>
      </c>
      <c r="F140" s="355">
        <f t="shared" si="16"/>
        <v>0</v>
      </c>
      <c r="G140" s="357"/>
      <c r="H140" s="354">
        <f>'Unit Data from Audit Worksheet'!I157</f>
        <v>0</v>
      </c>
      <c r="I140" s="38"/>
      <c r="J140" s="353">
        <v>382</v>
      </c>
      <c r="K140" s="352" t="s">
        <v>114</v>
      </c>
      <c r="L140" s="601">
        <f>IF(D140="",E140,D140)</f>
        <v>0</v>
      </c>
      <c r="P140" s="324"/>
      <c r="W140" s="3" t="b">
        <f t="shared" si="15"/>
        <v>1</v>
      </c>
      <c r="X140" s="598">
        <f t="shared" si="12"/>
        <v>0</v>
      </c>
      <c r="Y140" s="598">
        <f t="shared" si="13"/>
        <v>0</v>
      </c>
    </row>
    <row r="141" spans="1:25" ht="39.75" customHeight="1" x14ac:dyDescent="0.3">
      <c r="A141" s="342">
        <f>'Unit Data from Audit Worksheet'!A158</f>
        <v>360</v>
      </c>
      <c r="B141" s="356" t="str">
        <f>'Unit Data from Audit Worksheet'!C158</f>
        <v>Electric Fund Net Position Statement</v>
      </c>
      <c r="C141" s="341" t="str">
        <f>'Unit Data from Audit Worksheet'!D158</f>
        <v>Total liabilities and total deferred inflows</v>
      </c>
      <c r="D141" s="143"/>
      <c r="E141" s="362">
        <f>'Unit Data from Audit Worksheet'!F158</f>
        <v>0</v>
      </c>
      <c r="F141" s="355">
        <f t="shared" si="16"/>
        <v>0</v>
      </c>
      <c r="G141" s="357"/>
      <c r="H141" s="354">
        <f>'Unit Data from Audit Worksheet'!I158</f>
        <v>0</v>
      </c>
      <c r="I141" s="38"/>
      <c r="J141" s="353">
        <v>360</v>
      </c>
      <c r="K141" s="108" t="s">
        <v>125</v>
      </c>
      <c r="L141" s="601">
        <f>IF(D141="",E141,D141)</f>
        <v>0</v>
      </c>
      <c r="P141" s="324"/>
      <c r="W141" s="3" t="b">
        <f t="shared" si="15"/>
        <v>1</v>
      </c>
      <c r="X141" s="598">
        <f t="shared" si="12"/>
        <v>0</v>
      </c>
      <c r="Y141" s="598">
        <f t="shared" si="13"/>
        <v>0</v>
      </c>
    </row>
    <row r="142" spans="1:25" ht="58.5" customHeight="1" x14ac:dyDescent="0.3">
      <c r="A142" s="342">
        <f>'Unit Data from Audit Worksheet'!A159</f>
        <v>580</v>
      </c>
      <c r="B142" s="356" t="str">
        <f>'Unit Data from Audit Worksheet'!C159</f>
        <v>Electric Fund Net Position Statement</v>
      </c>
      <c r="C142" s="341" t="str">
        <f>'Unit Data from Audit Worksheet'!D159</f>
        <v>Electric Fund - Advance From:
Interfund loans payable-portion of repayment plan longer than 12 months</v>
      </c>
      <c r="D142" s="143"/>
      <c r="E142" s="362">
        <f>'Unit Data from Audit Worksheet'!F159</f>
        <v>0</v>
      </c>
      <c r="F142" s="355">
        <f t="shared" si="16"/>
        <v>0</v>
      </c>
      <c r="G142" s="357"/>
      <c r="H142" s="354">
        <f>'Unit Data from Audit Worksheet'!I159</f>
        <v>0</v>
      </c>
      <c r="I142" s="38"/>
      <c r="J142" s="353">
        <v>580</v>
      </c>
      <c r="K142" s="108" t="s">
        <v>566</v>
      </c>
      <c r="L142" s="601">
        <f>IF(D142="",E142,D142)</f>
        <v>0</v>
      </c>
      <c r="N142" s="610"/>
      <c r="P142" s="324"/>
      <c r="W142" s="3" t="b">
        <f t="shared" si="15"/>
        <v>1</v>
      </c>
      <c r="X142" s="598">
        <f t="shared" si="12"/>
        <v>0</v>
      </c>
      <c r="Y142" s="598">
        <f t="shared" si="13"/>
        <v>0</v>
      </c>
    </row>
    <row r="143" spans="1:25" s="18" customFormat="1" ht="104.25" customHeight="1" x14ac:dyDescent="0.3">
      <c r="A143" s="342">
        <f>'Unit Data from Audit Worksheet'!A160</f>
        <v>639</v>
      </c>
      <c r="B143" s="356" t="str">
        <f>'Unit Data from Audit Worksheet'!C160</f>
        <v>Electric Fund Net Position Statement</v>
      </c>
      <c r="C143" s="341"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3"/>
      <c r="E143" s="362">
        <f>'Unit Data from Audit Worksheet'!F160</f>
        <v>0</v>
      </c>
      <c r="F143" s="355" t="str">
        <f>IF(L143&gt;=(L144+L145+L146+L147+L148+L149),"","Account 639 is less than the total sum of accounts 640 through 644 + 384")</f>
        <v/>
      </c>
      <c r="G143" s="357">
        <f>L143-(L144+L145+L146+L147+L148+L149)</f>
        <v>0</v>
      </c>
      <c r="H143" s="354">
        <f>'Unit Data from Audit Worksheet'!I160</f>
        <v>0</v>
      </c>
      <c r="I143" s="38"/>
      <c r="J143" s="353">
        <v>639</v>
      </c>
      <c r="K143" s="352" t="s">
        <v>748</v>
      </c>
      <c r="L143" s="615">
        <f t="shared" ref="L143:L164" si="17">IF(D143="",E143,D143)</f>
        <v>0</v>
      </c>
      <c r="P143" s="324"/>
      <c r="Q143" s="591"/>
      <c r="R143" s="3"/>
      <c r="W143" s="18" t="b">
        <f t="shared" si="15"/>
        <v>1</v>
      </c>
      <c r="X143" s="607">
        <f t="shared" si="12"/>
        <v>0</v>
      </c>
      <c r="Y143" s="607">
        <f t="shared" si="13"/>
        <v>0</v>
      </c>
    </row>
    <row r="144" spans="1:25" s="18" customFormat="1" ht="104.25" customHeight="1" x14ac:dyDescent="0.3">
      <c r="A144" s="342">
        <f>'Unit Data from Audit Worksheet'!A161</f>
        <v>640</v>
      </c>
      <c r="B144" s="356" t="str">
        <f>'Unit Data from Audit Worksheet'!C161</f>
        <v>Electric Fund Net Position Statement</v>
      </c>
      <c r="C144" s="341"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3"/>
      <c r="E144" s="362">
        <f>'Unit Data from Audit Worksheet'!F161</f>
        <v>0</v>
      </c>
      <c r="F144" s="355">
        <f t="shared" ref="F144:F149" si="18">IF(L144&lt;0,"Error: Number is normally positive.",)</f>
        <v>0</v>
      </c>
      <c r="G144" s="357"/>
      <c r="H144" s="354">
        <f>'Unit Data from Audit Worksheet'!I161</f>
        <v>0</v>
      </c>
      <c r="I144" s="38"/>
      <c r="J144" s="353">
        <v>640</v>
      </c>
      <c r="K144" s="352" t="s">
        <v>749</v>
      </c>
      <c r="L144" s="615">
        <f t="shared" si="17"/>
        <v>0</v>
      </c>
      <c r="P144" s="324"/>
      <c r="Q144" s="591"/>
      <c r="R144" s="3"/>
      <c r="W144" s="18" t="b">
        <f t="shared" si="15"/>
        <v>1</v>
      </c>
      <c r="X144" s="607">
        <f t="shared" si="12"/>
        <v>0</v>
      </c>
      <c r="Y144" s="607">
        <f t="shared" si="13"/>
        <v>0</v>
      </c>
    </row>
    <row r="145" spans="1:25" s="18" customFormat="1" ht="104.25" customHeight="1" x14ac:dyDescent="0.3">
      <c r="A145" s="342">
        <f>'Unit Data from Audit Worksheet'!A162</f>
        <v>641</v>
      </c>
      <c r="B145" s="356" t="str">
        <f>'Unit Data from Audit Worksheet'!C162</f>
        <v>Electric Fund Net Position Statement</v>
      </c>
      <c r="C145" s="341"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3"/>
      <c r="E145" s="362">
        <f>'Unit Data from Audit Worksheet'!F162</f>
        <v>0</v>
      </c>
      <c r="F145" s="355">
        <f t="shared" si="18"/>
        <v>0</v>
      </c>
      <c r="G145" s="357"/>
      <c r="H145" s="354">
        <f>'Unit Data from Audit Worksheet'!I162</f>
        <v>0</v>
      </c>
      <c r="I145" s="38"/>
      <c r="J145" s="353">
        <v>641</v>
      </c>
      <c r="K145" s="352" t="s">
        <v>750</v>
      </c>
      <c r="L145" s="615">
        <f t="shared" si="17"/>
        <v>0</v>
      </c>
      <c r="P145" s="324"/>
      <c r="Q145" s="591"/>
      <c r="R145" s="3"/>
      <c r="W145" s="18" t="b">
        <f t="shared" si="15"/>
        <v>1</v>
      </c>
      <c r="X145" s="607">
        <f t="shared" si="12"/>
        <v>0</v>
      </c>
      <c r="Y145" s="607">
        <f t="shared" si="13"/>
        <v>0</v>
      </c>
    </row>
    <row r="146" spans="1:25" s="18" customFormat="1" ht="104.25" customHeight="1" x14ac:dyDescent="0.3">
      <c r="A146" s="342">
        <f>'Unit Data from Audit Worksheet'!A163</f>
        <v>642</v>
      </c>
      <c r="B146" s="356" t="str">
        <f>'Unit Data from Audit Worksheet'!C163</f>
        <v>Electric Fund Net Position Statement</v>
      </c>
      <c r="C146" s="341"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3"/>
      <c r="E146" s="362">
        <f>'Unit Data from Audit Worksheet'!F163</f>
        <v>0</v>
      </c>
      <c r="F146" s="355">
        <f t="shared" si="18"/>
        <v>0</v>
      </c>
      <c r="G146" s="357"/>
      <c r="H146" s="354">
        <f>'Unit Data from Audit Worksheet'!I163</f>
        <v>0</v>
      </c>
      <c r="I146" s="38"/>
      <c r="J146" s="353">
        <v>642</v>
      </c>
      <c r="K146" s="352" t="s">
        <v>751</v>
      </c>
      <c r="L146" s="615">
        <f t="shared" si="17"/>
        <v>0</v>
      </c>
      <c r="P146" s="324"/>
      <c r="Q146" s="591"/>
      <c r="R146" s="3"/>
      <c r="W146" s="18" t="b">
        <f t="shared" si="15"/>
        <v>1</v>
      </c>
      <c r="X146" s="607">
        <f t="shared" si="12"/>
        <v>0</v>
      </c>
      <c r="Y146" s="607">
        <f t="shared" si="13"/>
        <v>0</v>
      </c>
    </row>
    <row r="147" spans="1:25" s="18" customFormat="1" ht="60.75" customHeight="1" x14ac:dyDescent="0.3">
      <c r="A147" s="342">
        <f>'Unit Data from Audit Worksheet'!A164</f>
        <v>643</v>
      </c>
      <c r="B147" s="356" t="str">
        <f>'Unit Data from Audit Worksheet'!C164</f>
        <v>Electric Fund Net Position Statement</v>
      </c>
      <c r="C147" s="341" t="str">
        <f>'Unit Data from Audit Worksheet'!D164</f>
        <v>Please enter any current liabilities that are payable from restricted assets and included in account 639 above. 
Enter as a positive</v>
      </c>
      <c r="D147" s="143"/>
      <c r="E147" s="362">
        <f>'Unit Data from Audit Worksheet'!F164</f>
        <v>0</v>
      </c>
      <c r="F147" s="355">
        <f t="shared" si="18"/>
        <v>0</v>
      </c>
      <c r="G147" s="357"/>
      <c r="H147" s="354">
        <f>'Unit Data from Audit Worksheet'!I164</f>
        <v>0</v>
      </c>
      <c r="I147" s="38"/>
      <c r="J147" s="353">
        <v>643</v>
      </c>
      <c r="K147" s="352" t="s">
        <v>752</v>
      </c>
      <c r="L147" s="615">
        <f t="shared" si="17"/>
        <v>0</v>
      </c>
      <c r="P147" s="324"/>
      <c r="Q147" s="591"/>
      <c r="R147" s="3"/>
      <c r="W147" s="18" t="b">
        <f t="shared" si="15"/>
        <v>1</v>
      </c>
      <c r="X147" s="607">
        <f t="shared" si="12"/>
        <v>0</v>
      </c>
      <c r="Y147" s="607">
        <f t="shared" si="13"/>
        <v>0</v>
      </c>
    </row>
    <row r="148" spans="1:25" s="18" customFormat="1" ht="102" customHeight="1" x14ac:dyDescent="0.3">
      <c r="A148" s="342">
        <f>'Unit Data from Audit Worksheet'!A165</f>
        <v>644</v>
      </c>
      <c r="B148" s="356" t="str">
        <f>'Unit Data from Audit Worksheet'!C165</f>
        <v>Electric Fund Net Position Statement</v>
      </c>
      <c r="C148" s="341"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3"/>
      <c r="E148" s="362">
        <f>'Unit Data from Audit Worksheet'!F165</f>
        <v>0</v>
      </c>
      <c r="F148" s="355">
        <f t="shared" si="18"/>
        <v>0</v>
      </c>
      <c r="G148" s="357"/>
      <c r="H148" s="354">
        <f>'Unit Data from Audit Worksheet'!I165</f>
        <v>0</v>
      </c>
      <c r="I148" s="38"/>
      <c r="J148" s="277">
        <v>644</v>
      </c>
      <c r="K148" s="352" t="s">
        <v>753</v>
      </c>
      <c r="L148" s="615">
        <f t="shared" si="17"/>
        <v>0</v>
      </c>
      <c r="P148" s="327"/>
      <c r="Q148" s="591"/>
      <c r="R148" s="3"/>
      <c r="W148" s="18" t="b">
        <f t="shared" si="15"/>
        <v>1</v>
      </c>
      <c r="X148" s="607">
        <f t="shared" si="12"/>
        <v>0</v>
      </c>
      <c r="Y148" s="607">
        <f t="shared" si="13"/>
        <v>0</v>
      </c>
    </row>
    <row r="149" spans="1:25" ht="63.75" customHeight="1" x14ac:dyDescent="0.3">
      <c r="A149" s="342">
        <f>+'Unit Data from Audit Worksheet'!A166</f>
        <v>384</v>
      </c>
      <c r="B149" s="342" t="str">
        <f>+'Unit Data from Audit Worksheet'!C166</f>
        <v>Electric Fund Net Position Statement</v>
      </c>
      <c r="C149" s="342" t="str">
        <f>+'Unit Data from Audit Worksheet'!D166</f>
        <v>Unearned revenue (arising from cash receipts) that were included in Current Liabilities in account 639 above.
Enter as a positive</v>
      </c>
      <c r="D149" s="143"/>
      <c r="E149" s="362">
        <f>+'Unit Data from Audit Worksheet'!F166</f>
        <v>0</v>
      </c>
      <c r="F149" s="355">
        <f t="shared" si="18"/>
        <v>0</v>
      </c>
      <c r="G149" s="357"/>
      <c r="H149" s="354">
        <f>'Unit Data from Audit Worksheet'!I166</f>
        <v>0</v>
      </c>
      <c r="I149" s="38"/>
      <c r="J149" s="353">
        <v>384</v>
      </c>
      <c r="K149" s="58" t="s">
        <v>124</v>
      </c>
      <c r="L149" s="601">
        <f t="shared" si="17"/>
        <v>0</v>
      </c>
      <c r="P149" s="324"/>
      <c r="W149" s="3" t="b">
        <f t="shared" si="15"/>
        <v>1</v>
      </c>
      <c r="X149" s="598">
        <f t="shared" si="12"/>
        <v>0</v>
      </c>
      <c r="Y149" s="598">
        <f t="shared" si="13"/>
        <v>0</v>
      </c>
    </row>
    <row r="150" spans="1:25" ht="86.4" x14ac:dyDescent="0.3">
      <c r="A150" s="342">
        <f>+'Unit Data from Audit Worksheet'!A167</f>
        <v>361</v>
      </c>
      <c r="B150" s="342" t="str">
        <f>+'Unit Data from Audit Worksheet'!C167</f>
        <v>Electric Fund Net Position Statement</v>
      </c>
      <c r="C150" s="342" t="str">
        <f>+'Unit Data from Audit Worksheet'!D167</f>
        <v>Total net position, unrestricted - Amount of negative unrestricted net position should be entered as a negative amount and the amount of positive unrestricted net position should be entered as a positive amount.</v>
      </c>
      <c r="D150" s="143"/>
      <c r="E150" s="362">
        <f>+'Unit Data from Audit Worksheet'!F167</f>
        <v>0</v>
      </c>
      <c r="F150" s="355"/>
      <c r="G150" s="357"/>
      <c r="H150" s="354">
        <f>'Unit Data from Audit Worksheet'!I167</f>
        <v>0</v>
      </c>
      <c r="I150" s="38"/>
      <c r="J150" s="353">
        <v>361</v>
      </c>
      <c r="K150" s="352" t="s">
        <v>106</v>
      </c>
      <c r="L150" s="601">
        <f t="shared" si="17"/>
        <v>0</v>
      </c>
      <c r="P150" s="324"/>
      <c r="W150" s="3" t="b">
        <f t="shared" si="15"/>
        <v>1</v>
      </c>
      <c r="X150" s="598">
        <f t="shared" si="12"/>
        <v>0</v>
      </c>
      <c r="Y150" s="598">
        <f t="shared" si="13"/>
        <v>0</v>
      </c>
    </row>
    <row r="151" spans="1:25" ht="46.5" customHeight="1" x14ac:dyDescent="0.3">
      <c r="A151" s="342">
        <f>'Unit Data from Audit Worksheet'!A168</f>
        <v>362</v>
      </c>
      <c r="B151" s="356" t="str">
        <f>'Unit Data from Audit Worksheet'!C168</f>
        <v>Electric Fund Net Position Statement</v>
      </c>
      <c r="C151" s="341" t="str">
        <f>'Unit Data from Audit Worksheet'!D168</f>
        <v>Total net position</v>
      </c>
      <c r="D151" s="143"/>
      <c r="E151" s="362">
        <f>'Unit Data from Audit Worksheet'!F168</f>
        <v>0</v>
      </c>
      <c r="F151" s="355">
        <f>IF(L140-L141-L151=0,,"Error: Total assets less total liabilities do not equal net position acct 382-360-362=0")</f>
        <v>0</v>
      </c>
      <c r="G151" s="91">
        <f>+L140-L141-L151</f>
        <v>0</v>
      </c>
      <c r="H151" s="354">
        <f>'Unit Data from Audit Worksheet'!I168</f>
        <v>0</v>
      </c>
      <c r="I151" s="38"/>
      <c r="J151" s="353">
        <v>362</v>
      </c>
      <c r="K151" s="352" t="s">
        <v>107</v>
      </c>
      <c r="L151" s="601">
        <f t="shared" si="17"/>
        <v>0</v>
      </c>
      <c r="O151" s="609" t="e">
        <f>'Unit Data from Audit Worksheet'!E168</f>
        <v>#N/A</v>
      </c>
      <c r="P151" s="324"/>
      <c r="Q151" s="591">
        <f>IF(+L140-L141-L151=0,0,1)</f>
        <v>0</v>
      </c>
      <c r="W151" s="3" t="b">
        <f t="shared" si="15"/>
        <v>1</v>
      </c>
      <c r="X151" s="598">
        <f t="shared" si="12"/>
        <v>0</v>
      </c>
      <c r="Y151" s="598">
        <f t="shared" si="13"/>
        <v>0</v>
      </c>
    </row>
    <row r="152" spans="1:25" ht="61.5" customHeight="1" x14ac:dyDescent="0.3">
      <c r="A152" s="342">
        <f>'Unit Data from Audit Worksheet'!A171</f>
        <v>88</v>
      </c>
      <c r="B152" s="356" t="str">
        <f>'Unit Data from Audit Worksheet'!C171</f>
        <v>Water Sewer Revenue, Expenses &amp; Changes in Fund Net Position</v>
      </c>
      <c r="C152" s="341" t="str">
        <f>'Unit Data from Audit Worksheet'!D171</f>
        <v>Charges for services. 
Exclude tap, capacity fees and other misc. income .</v>
      </c>
      <c r="D152" s="143"/>
      <c r="E152" s="362">
        <f>'Unit Data from Audit Worksheet'!F171</f>
        <v>0</v>
      </c>
      <c r="F152" s="355"/>
      <c r="G152" s="357"/>
      <c r="H152" s="354">
        <f>'Unit Data from Audit Worksheet'!I171</f>
        <v>0</v>
      </c>
      <c r="I152" s="38"/>
      <c r="J152" s="353">
        <v>88</v>
      </c>
      <c r="K152" s="352" t="s">
        <v>226</v>
      </c>
      <c r="L152" s="601">
        <f t="shared" si="17"/>
        <v>0</v>
      </c>
      <c r="P152" s="324"/>
      <c r="Q152" s="358"/>
      <c r="W152" s="3" t="b">
        <f t="shared" si="15"/>
        <v>1</v>
      </c>
      <c r="X152" s="598">
        <f t="shared" si="12"/>
        <v>0</v>
      </c>
      <c r="Y152" s="598">
        <f t="shared" si="13"/>
        <v>0</v>
      </c>
    </row>
    <row r="153" spans="1:25" ht="72" customHeight="1" x14ac:dyDescent="0.3">
      <c r="A153" s="342">
        <f>'Unit Data from Audit Worksheet'!A172</f>
        <v>84</v>
      </c>
      <c r="B153" s="356" t="str">
        <f>'Unit Data from Audit Worksheet'!C172</f>
        <v>Water Sewer Revenue, Expenses &amp; Changes in Fund Net Position</v>
      </c>
      <c r="C153" s="341" t="str">
        <f>'Unit Data from Audit Worksheet'!D172</f>
        <v>Total Operating revenues</v>
      </c>
      <c r="D153" s="143"/>
      <c r="E153" s="362">
        <f>'Unit Data from Audit Worksheet'!F172</f>
        <v>0</v>
      </c>
      <c r="F153" s="355" t="str">
        <f>IF(L152&gt;L153,"Error: Charges for services exceed total operating revenues. Acct # 88&gt;84"," ")</f>
        <v xml:space="preserve"> </v>
      </c>
      <c r="G153" s="357" t="str">
        <f>IF(Q153=1," Included in error count"," ")</f>
        <v xml:space="preserve"> </v>
      </c>
      <c r="H153" s="354">
        <f>'Unit Data from Audit Worksheet'!I172</f>
        <v>0</v>
      </c>
      <c r="I153" s="38"/>
      <c r="J153" s="353">
        <v>84</v>
      </c>
      <c r="K153" s="352" t="s">
        <v>227</v>
      </c>
      <c r="L153" s="601">
        <f t="shared" si="17"/>
        <v>0</v>
      </c>
      <c r="P153" s="324"/>
      <c r="Q153" s="591">
        <f>IF(L152&gt;L153,1,0)</f>
        <v>0</v>
      </c>
      <c r="W153" s="3" t="b">
        <f t="shared" si="15"/>
        <v>1</v>
      </c>
      <c r="X153" s="598">
        <f t="shared" si="12"/>
        <v>0</v>
      </c>
      <c r="Y153" s="598">
        <f t="shared" si="13"/>
        <v>0</v>
      </c>
    </row>
    <row r="154" spans="1:25" ht="72" customHeight="1" x14ac:dyDescent="0.3">
      <c r="A154" s="342">
        <f>'Unit Data from Audit Worksheet'!A173</f>
        <v>49</v>
      </c>
      <c r="B154" s="356" t="str">
        <f>'Unit Data from Audit Worksheet'!C173</f>
        <v>Water Sewer Revenue, Expenses &amp; Changes in Fund Net Position</v>
      </c>
      <c r="C154" s="341" t="str">
        <f>'Unit Data from Audit Worksheet'!D173</f>
        <v>Depreciation and amortization expense</v>
      </c>
      <c r="D154" s="143"/>
      <c r="E154" s="362">
        <f>'Unit Data from Audit Worksheet'!F173</f>
        <v>0</v>
      </c>
      <c r="F154" s="355">
        <f>IF(L154&lt;0,"Error: Number is normally positive.",)</f>
        <v>0</v>
      </c>
      <c r="G154" s="357"/>
      <c r="H154" s="354">
        <f>'Unit Data from Audit Worksheet'!I173</f>
        <v>0</v>
      </c>
      <c r="I154" s="38"/>
      <c r="J154" s="353">
        <v>49</v>
      </c>
      <c r="K154" s="352" t="s">
        <v>228</v>
      </c>
      <c r="L154" s="601">
        <f t="shared" si="17"/>
        <v>0</v>
      </c>
      <c r="O154" s="609"/>
      <c r="P154" s="324"/>
      <c r="W154" s="3" t="b">
        <f t="shared" si="15"/>
        <v>1</v>
      </c>
      <c r="X154" s="598">
        <f t="shared" si="12"/>
        <v>0</v>
      </c>
      <c r="Y154" s="598">
        <f t="shared" si="13"/>
        <v>0</v>
      </c>
    </row>
    <row r="155" spans="1:25" ht="48" customHeight="1" x14ac:dyDescent="0.3">
      <c r="A155" s="342">
        <f>'Unit Data from Audit Worksheet'!A174</f>
        <v>85</v>
      </c>
      <c r="B155" s="356" t="str">
        <f>'Unit Data from Audit Worksheet'!C174</f>
        <v>Water Sewer Revenue, Expenses &amp; Changes in Fund Net Position</v>
      </c>
      <c r="C155" s="341" t="str">
        <f>'Unit Data from Audit Worksheet'!D174</f>
        <v>Total Operating expenses</v>
      </c>
      <c r="D155" s="143"/>
      <c r="E155" s="362">
        <f>'Unit Data from Audit Worksheet'!F174</f>
        <v>0</v>
      </c>
      <c r="F155" s="355"/>
      <c r="G155" s="357"/>
      <c r="H155" s="354">
        <f>'Unit Data from Audit Worksheet'!I174</f>
        <v>0</v>
      </c>
      <c r="I155" s="38"/>
      <c r="J155" s="353">
        <v>85</v>
      </c>
      <c r="K155" s="352" t="s">
        <v>229</v>
      </c>
      <c r="L155" s="601">
        <f t="shared" si="17"/>
        <v>0</v>
      </c>
      <c r="P155" s="324"/>
      <c r="W155" s="3" t="b">
        <f t="shared" si="15"/>
        <v>1</v>
      </c>
      <c r="X155" s="598">
        <f t="shared" si="12"/>
        <v>0</v>
      </c>
      <c r="Y155" s="598">
        <f t="shared" si="13"/>
        <v>0</v>
      </c>
    </row>
    <row r="156" spans="1:25" ht="48" customHeight="1" x14ac:dyDescent="0.3">
      <c r="A156" s="342">
        <f>'Unit Data from Audit Worksheet'!A175</f>
        <v>89</v>
      </c>
      <c r="B156" s="356" t="str">
        <f>'Unit Data from Audit Worksheet'!C175</f>
        <v>Water Sewer Revenue, Expenses &amp; Changes in Fund Net Position</v>
      </c>
      <c r="C156" s="341" t="str">
        <f>'Unit Data from Audit Worksheet'!D175</f>
        <v>Interest expense</v>
      </c>
      <c r="D156" s="143"/>
      <c r="E156" s="362">
        <f>'Unit Data from Audit Worksheet'!F175</f>
        <v>0</v>
      </c>
      <c r="F156" s="355"/>
      <c r="G156" s="357"/>
      <c r="H156" s="354">
        <f>'Unit Data from Audit Worksheet'!I175</f>
        <v>0</v>
      </c>
      <c r="I156" s="38"/>
      <c r="J156" s="353">
        <v>89</v>
      </c>
      <c r="K156" s="352" t="s">
        <v>230</v>
      </c>
      <c r="L156" s="601">
        <f t="shared" si="17"/>
        <v>0</v>
      </c>
      <c r="P156" s="324"/>
      <c r="W156" s="3" t="b">
        <f t="shared" si="15"/>
        <v>1</v>
      </c>
      <c r="X156" s="598">
        <f t="shared" si="12"/>
        <v>0</v>
      </c>
      <c r="Y156" s="598">
        <f t="shared" si="13"/>
        <v>0</v>
      </c>
    </row>
    <row r="157" spans="1:25" ht="48" customHeight="1" x14ac:dyDescent="0.3">
      <c r="A157" s="342">
        <f>'Unit Data from Audit Worksheet'!A176</f>
        <v>350</v>
      </c>
      <c r="B157" s="356" t="str">
        <f>'Unit Data from Audit Worksheet'!C176</f>
        <v>Water Sewer Revenue, Expenses &amp; Changes in Fund Net Position</v>
      </c>
      <c r="C157" s="341" t="str">
        <f>'Unit Data from Audit Worksheet'!D176</f>
        <v>Total all non-operating revenues  
Exclude Capital contributions.</v>
      </c>
      <c r="D157" s="143"/>
      <c r="E157" s="362">
        <f>'Unit Data from Audit Worksheet'!F176</f>
        <v>0</v>
      </c>
      <c r="F157" s="355"/>
      <c r="G157" s="357"/>
      <c r="H157" s="354">
        <f>'Unit Data from Audit Worksheet'!I176</f>
        <v>0</v>
      </c>
      <c r="I157" s="38"/>
      <c r="J157" s="353">
        <v>350</v>
      </c>
      <c r="K157" s="352" t="s">
        <v>231</v>
      </c>
      <c r="L157" s="601">
        <f t="shared" si="17"/>
        <v>0</v>
      </c>
      <c r="P157" s="324"/>
      <c r="W157" s="3" t="b">
        <f t="shared" si="15"/>
        <v>1</v>
      </c>
      <c r="X157" s="598">
        <f t="shared" si="12"/>
        <v>0</v>
      </c>
      <c r="Y157" s="598">
        <f t="shared" si="13"/>
        <v>0</v>
      </c>
    </row>
    <row r="158" spans="1:25" ht="48" customHeight="1" x14ac:dyDescent="0.3">
      <c r="A158" s="342">
        <f>'Unit Data from Audit Worksheet'!A177</f>
        <v>351</v>
      </c>
      <c r="B158" s="356" t="str">
        <f>'Unit Data from Audit Worksheet'!C177</f>
        <v>Water Sewer Revenue, Expenses &amp; Changes in Fund Net Position</v>
      </c>
      <c r="C158" s="341" t="str">
        <f>'Unit Data from Audit Worksheet'!D177</f>
        <v>Total all non-operating expenses.  
Include any negative special, extraordinary, or capital contribution.</v>
      </c>
      <c r="D158" s="143"/>
      <c r="E158" s="362">
        <f>'Unit Data from Audit Worksheet'!F177</f>
        <v>0</v>
      </c>
      <c r="F158" s="355"/>
      <c r="G158" s="357"/>
      <c r="H158" s="354">
        <f>'Unit Data from Audit Worksheet'!I177</f>
        <v>0</v>
      </c>
      <c r="I158" s="38"/>
      <c r="J158" s="353">
        <v>351</v>
      </c>
      <c r="K158" s="352" t="s">
        <v>232</v>
      </c>
      <c r="L158" s="601">
        <f t="shared" si="17"/>
        <v>0</v>
      </c>
      <c r="P158" s="324"/>
      <c r="W158" s="3" t="b">
        <f t="shared" si="15"/>
        <v>1</v>
      </c>
      <c r="X158" s="598">
        <f t="shared" si="12"/>
        <v>0</v>
      </c>
      <c r="Y158" s="598">
        <f t="shared" si="13"/>
        <v>0</v>
      </c>
    </row>
    <row r="159" spans="1:25" ht="57.6" x14ac:dyDescent="0.3">
      <c r="A159" s="342">
        <f>'Unit Data from Audit Worksheet'!A178</f>
        <v>191</v>
      </c>
      <c r="B159" s="356" t="str">
        <f>'Unit Data from Audit Worksheet'!C178</f>
        <v>Water Sewer Revenue, Expenses &amp; Changes in Fund Net Position</v>
      </c>
      <c r="C159" s="341" t="str">
        <f>'Unit Data from Audit Worksheet'!D178</f>
        <v>Capital contributions. Only include positive capital contributions.  Negative capital contributions should be included with 'Total all non-operating expenses.'</v>
      </c>
      <c r="D159" s="143"/>
      <c r="E159" s="362">
        <f>'Unit Data from Audit Worksheet'!F178</f>
        <v>0</v>
      </c>
      <c r="F159" s="355">
        <f>IF(L159&lt;0,"Error: Enter as a positive.",)</f>
        <v>0</v>
      </c>
      <c r="G159" s="357"/>
      <c r="H159" s="354">
        <f>'Unit Data from Audit Worksheet'!I178</f>
        <v>0</v>
      </c>
      <c r="I159" s="38"/>
      <c r="J159" s="353">
        <v>191</v>
      </c>
      <c r="K159" s="352" t="s">
        <v>233</v>
      </c>
      <c r="L159" s="601">
        <f t="shared" si="17"/>
        <v>0</v>
      </c>
      <c r="P159" s="324"/>
      <c r="W159" s="3" t="b">
        <f t="shared" si="15"/>
        <v>1</v>
      </c>
      <c r="X159" s="598">
        <f t="shared" si="12"/>
        <v>0</v>
      </c>
      <c r="Y159" s="598">
        <f t="shared" si="13"/>
        <v>0</v>
      </c>
    </row>
    <row r="160" spans="1:25" ht="47.25" customHeight="1" x14ac:dyDescent="0.3">
      <c r="A160" s="342">
        <f>'Unit Data from Audit Worksheet'!A179</f>
        <v>352</v>
      </c>
      <c r="B160" s="356" t="str">
        <f>'Unit Data from Audit Worksheet'!C179</f>
        <v>Water Sewer Revenue, Expenses &amp; Changes in Fund Net Position</v>
      </c>
      <c r="C160" s="341" t="str">
        <f>'Unit Data from Audit Worksheet'!D179</f>
        <v>Total Transfers in - all funds (operating and capital)</v>
      </c>
      <c r="D160" s="143"/>
      <c r="E160" s="362">
        <f>'Unit Data from Audit Worksheet'!F179</f>
        <v>0</v>
      </c>
      <c r="F160" s="355"/>
      <c r="G160" s="357"/>
      <c r="H160" s="354">
        <f>'Unit Data from Audit Worksheet'!I179</f>
        <v>0</v>
      </c>
      <c r="I160" s="38"/>
      <c r="J160" s="353">
        <v>352</v>
      </c>
      <c r="K160" s="352" t="s">
        <v>234</v>
      </c>
      <c r="L160" s="601">
        <f t="shared" si="17"/>
        <v>0</v>
      </c>
      <c r="P160" s="324"/>
      <c r="W160" s="3" t="b">
        <f t="shared" si="15"/>
        <v>1</v>
      </c>
      <c r="X160" s="598">
        <f t="shared" si="12"/>
        <v>0</v>
      </c>
      <c r="Y160" s="598">
        <f t="shared" si="13"/>
        <v>0</v>
      </c>
    </row>
    <row r="161" spans="1:25" ht="70.5" customHeight="1" x14ac:dyDescent="0.3">
      <c r="A161" s="617">
        <f>'Unit Data from Audit Worksheet'!A180</f>
        <v>986</v>
      </c>
      <c r="B161" s="360" t="str">
        <f>'Unit Data from Audit Worksheet'!C180</f>
        <v>Water Sewer Revenue, Expenses &amp; Changes in Fund Net Position</v>
      </c>
      <c r="C161" s="618" t="str">
        <f>'Unit Data from Audit Worksheet'!D180</f>
        <v>Of the transfers-in above in acct # 352, list amount of transfers-in that were used to support Water Sewer operations  (exclude capital transfers)</v>
      </c>
      <c r="D161" s="143"/>
      <c r="E161" s="362">
        <f>'Unit Data from Audit Worksheet'!F180</f>
        <v>0</v>
      </c>
      <c r="F161" s="355"/>
      <c r="G161" s="357"/>
      <c r="H161" s="354"/>
      <c r="I161" s="38"/>
      <c r="J161" s="371">
        <v>986</v>
      </c>
      <c r="K161" s="618" t="s">
        <v>1166</v>
      </c>
      <c r="L161" s="619">
        <f t="shared" si="17"/>
        <v>0</v>
      </c>
      <c r="P161" s="324"/>
      <c r="W161" s="3" t="b">
        <f t="shared" si="15"/>
        <v>1</v>
      </c>
      <c r="X161" s="598"/>
      <c r="Y161" s="598"/>
    </row>
    <row r="162" spans="1:25" ht="47.25" customHeight="1" x14ac:dyDescent="0.3">
      <c r="A162" s="342">
        <f>'Unit Data from Audit Worksheet'!A181</f>
        <v>353</v>
      </c>
      <c r="B162" s="356" t="str">
        <f>'Unit Data from Audit Worksheet'!C181</f>
        <v>Water Sewer Revenue, Expenses &amp; Changes in Fund Net Position</v>
      </c>
      <c r="C162" s="341" t="str">
        <f>'Unit Data from Audit Worksheet'!D181</f>
        <v>Total Transfers out</v>
      </c>
      <c r="D162" s="143"/>
      <c r="E162" s="362">
        <f>'Unit Data from Audit Worksheet'!F181</f>
        <v>0</v>
      </c>
      <c r="F162" s="355">
        <f>IF(L162&lt;0,"Error: Enter as a positive.",)</f>
        <v>0</v>
      </c>
      <c r="G162" s="357"/>
      <c r="H162" s="354">
        <f>'Unit Data from Audit Worksheet'!I181</f>
        <v>0</v>
      </c>
      <c r="I162" s="38"/>
      <c r="J162" s="40">
        <v>353</v>
      </c>
      <c r="K162" s="352" t="s">
        <v>235</v>
      </c>
      <c r="L162" s="601">
        <f t="shared" si="17"/>
        <v>0</v>
      </c>
      <c r="P162" s="328"/>
      <c r="W162" s="3" t="b">
        <f t="shared" si="15"/>
        <v>1</v>
      </c>
      <c r="X162" s="598">
        <f t="shared" si="12"/>
        <v>0</v>
      </c>
      <c r="Y162" s="598">
        <f t="shared" si="13"/>
        <v>0</v>
      </c>
    </row>
    <row r="163" spans="1:25" ht="72.75" customHeight="1" x14ac:dyDescent="0.3">
      <c r="A163" s="342">
        <f>'Unit Data from Audit Worksheet'!A182</f>
        <v>50</v>
      </c>
      <c r="B163" s="356" t="str">
        <f>'Unit Data from Audit Worksheet'!C182</f>
        <v>Water Sewer Revenue, Expenses &amp; Changes in Fund Net Position</v>
      </c>
      <c r="C163" s="341" t="str">
        <f>'Unit Data from Audit Worksheet'!D182</f>
        <v>Change in net position - Increase in net position is recorded as a positive and a (Decrease) in net position is recorded as a negative.</v>
      </c>
      <c r="D163" s="143"/>
      <c r="E163" s="148">
        <f>'Unit Data from Audit Worksheet'!F182</f>
        <v>0</v>
      </c>
      <c r="F163" s="355">
        <f>IF(L153-L155+L157-L158+L160+L159-L162-L163=0,,"Error:Total revenues less total expenses do not equal total change in net position. Acct # 84-85+350-351+191+352-353-50")</f>
        <v>0</v>
      </c>
      <c r="G163" s="91">
        <f>+L153-L155+L157-L158+L160+L159-L162-L163</f>
        <v>0</v>
      </c>
      <c r="H163" s="354">
        <f>'Unit Data from Audit Worksheet'!I182</f>
        <v>0</v>
      </c>
      <c r="I163" s="38"/>
      <c r="J163" s="353">
        <v>50</v>
      </c>
      <c r="K163" s="352" t="s">
        <v>100</v>
      </c>
      <c r="L163" s="601">
        <f t="shared" si="17"/>
        <v>0</v>
      </c>
      <c r="P163" s="324"/>
      <c r="Q163" s="591">
        <f>IF(G163&lt;&gt;0,1,0)</f>
        <v>0</v>
      </c>
      <c r="W163" s="3" t="b">
        <f t="shared" si="15"/>
        <v>1</v>
      </c>
      <c r="X163" s="598">
        <f t="shared" si="12"/>
        <v>0</v>
      </c>
      <c r="Y163" s="598">
        <f t="shared" si="13"/>
        <v>0</v>
      </c>
    </row>
    <row r="164" spans="1:25" ht="144" customHeight="1" x14ac:dyDescent="0.3">
      <c r="A164" s="342">
        <f>'Unit Data from Audit Worksheet'!A183</f>
        <v>377</v>
      </c>
      <c r="B164" s="356" t="str">
        <f>'Unit Data from Audit Worksheet'!C183</f>
        <v>Water Sewer Revenue, Expenses &amp; Changes in Fund Net Position</v>
      </c>
      <c r="C164" s="341"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3"/>
      <c r="E164" s="148">
        <f>'Unit Data from Audit Worksheet'!F183</f>
        <v>0</v>
      </c>
      <c r="F164" s="87" t="e">
        <f>IF(L133-L163-L164=O133,,"Error:Beginning Balance does not agree with out records.Acct # 83-50-377 = PY83")</f>
        <v>#N/A</v>
      </c>
      <c r="G164" s="91" t="e">
        <f>+L133-L163-L164-O133</f>
        <v>#N/A</v>
      </c>
      <c r="H164" s="354" t="str">
        <f>'Unit Data from Audit Worksheet'!I183</f>
        <v>Please do not enter prior's years beginning balance as an adjustment in column F.</v>
      </c>
      <c r="I164" s="38"/>
      <c r="J164" s="353">
        <v>377</v>
      </c>
      <c r="K164" s="352" t="s">
        <v>109</v>
      </c>
      <c r="L164" s="601">
        <f t="shared" si="17"/>
        <v>0</v>
      </c>
      <c r="P164" s="324"/>
      <c r="Q164" s="591" t="e">
        <f>IF(G164&lt;&gt;0,1,0)</f>
        <v>#N/A</v>
      </c>
      <c r="W164" s="3" t="b">
        <f t="shared" si="15"/>
        <v>1</v>
      </c>
      <c r="X164" s="598">
        <f t="shared" si="12"/>
        <v>0</v>
      </c>
      <c r="Y164" s="598">
        <f t="shared" si="13"/>
        <v>0</v>
      </c>
    </row>
    <row r="165" spans="1:25" ht="63" customHeight="1" x14ac:dyDescent="0.3">
      <c r="A165" s="626">
        <f>'Unit Data from Audit Worksheet'!A184</f>
        <v>537</v>
      </c>
      <c r="B165" s="356" t="str">
        <f>'Unit Data from Audit Worksheet'!C184</f>
        <v>Water Sewer Revenue, Expenses &amp; Changes in Fund Net Position</v>
      </c>
      <c r="C165" s="341" t="str">
        <f>'Unit Data from Audit Worksheet'!D184</f>
        <v>Did unit raise Water Sewer rates during the audited fiscal period? - answer Yes or No</v>
      </c>
      <c r="D165" s="138"/>
      <c r="E165" s="362">
        <f>'Unit Data from Audit Worksheet'!F184</f>
        <v>0</v>
      </c>
      <c r="F165" s="355" t="s">
        <v>556</v>
      </c>
      <c r="G165" s="357"/>
      <c r="H165" s="354">
        <f>'Unit Data from Audit Worksheet'!I184</f>
        <v>0</v>
      </c>
      <c r="I165" s="38"/>
      <c r="J165" s="67">
        <v>537</v>
      </c>
      <c r="K165" s="65" t="s">
        <v>295</v>
      </c>
      <c r="L165" s="627">
        <f>IF(E165="Yes",1,IF(E165="No",2,0))</f>
        <v>0</v>
      </c>
      <c r="N165" s="61" t="s">
        <v>546</v>
      </c>
      <c r="P165" s="329"/>
      <c r="W165" s="3" t="b">
        <f t="shared" ref="W165:W196" si="19">EXACT(A165,J165)</f>
        <v>1</v>
      </c>
      <c r="X165" s="598">
        <f t="shared" si="12"/>
        <v>0</v>
      </c>
      <c r="Y165" s="598">
        <f t="shared" si="13"/>
        <v>0</v>
      </c>
    </row>
    <row r="166" spans="1:25" ht="63.75" customHeight="1" x14ac:dyDescent="0.3">
      <c r="A166" s="626">
        <f>'Unit Data from Audit Worksheet'!A185</f>
        <v>538</v>
      </c>
      <c r="B166" s="356" t="str">
        <f>'Unit Data from Audit Worksheet'!C185</f>
        <v>Water Sewer Revenue, Expenses &amp; Changes in Fund Net Position</v>
      </c>
      <c r="C166" s="341" t="str">
        <f>'Unit Data from Audit Worksheet'!D185</f>
        <v>Did unit raise Water Sewer rates during the budget year following the audited fiscal year? - answer Yes or No</v>
      </c>
      <c r="D166" s="138"/>
      <c r="E166" s="362">
        <f>'Unit Data from Audit Worksheet'!F185</f>
        <v>0</v>
      </c>
      <c r="F166" s="355" t="s">
        <v>556</v>
      </c>
      <c r="G166" s="357"/>
      <c r="H166" s="354">
        <f>'Unit Data from Audit Worksheet'!I185</f>
        <v>0</v>
      </c>
      <c r="I166" s="38"/>
      <c r="J166" s="67">
        <v>538</v>
      </c>
      <c r="K166" s="65" t="s">
        <v>294</v>
      </c>
      <c r="L166" s="627">
        <f>IF(E166="Yes",1,IF(E166="No",2,0))</f>
        <v>0</v>
      </c>
      <c r="N166" s="61" t="s">
        <v>546</v>
      </c>
      <c r="P166" s="329"/>
      <c r="W166" s="3" t="b">
        <f t="shared" si="19"/>
        <v>1</v>
      </c>
      <c r="X166" s="598">
        <f t="shared" si="12"/>
        <v>0</v>
      </c>
      <c r="Y166" s="598">
        <f t="shared" si="13"/>
        <v>0</v>
      </c>
    </row>
    <row r="167" spans="1:25" ht="47.25" customHeight="1" x14ac:dyDescent="0.3">
      <c r="A167" s="342">
        <f>'Unit Data from Audit Worksheet'!A187</f>
        <v>97</v>
      </c>
      <c r="B167" s="356" t="str">
        <f>'Unit Data from Audit Worksheet'!C187</f>
        <v>Electric Fund Revenue, Expenses &amp; Changes in Fund Net Position</v>
      </c>
      <c r="C167" s="341" t="str">
        <f>'Unit Data from Audit Worksheet'!D187</f>
        <v>Charges for services</v>
      </c>
      <c r="D167" s="361"/>
      <c r="E167" s="362">
        <f>'Unit Data from Audit Worksheet'!F187</f>
        <v>0</v>
      </c>
      <c r="F167" s="355">
        <f>IF(L167&lt;0,"Error: Enter as a positive.",)</f>
        <v>0</v>
      </c>
      <c r="G167" s="357"/>
      <c r="H167" s="354">
        <f>'Unit Data from Audit Worksheet'!I187</f>
        <v>0</v>
      </c>
      <c r="I167" s="38"/>
      <c r="J167" s="353">
        <v>97</v>
      </c>
      <c r="K167" s="352" t="s">
        <v>236</v>
      </c>
      <c r="L167" s="601">
        <f t="shared" ref="L167:L234" si="20">IF(D167="",E167,D167)</f>
        <v>0</v>
      </c>
      <c r="P167" s="324"/>
      <c r="W167" s="3" t="b">
        <f t="shared" si="19"/>
        <v>1</v>
      </c>
      <c r="X167" s="598">
        <f t="shared" si="12"/>
        <v>0</v>
      </c>
      <c r="Y167" s="598">
        <f t="shared" si="13"/>
        <v>0</v>
      </c>
    </row>
    <row r="168" spans="1:25" ht="45.75" customHeight="1" x14ac:dyDescent="0.3">
      <c r="A168" s="342">
        <f>'Unit Data from Audit Worksheet'!A188</f>
        <v>93</v>
      </c>
      <c r="B168" s="356" t="str">
        <f>'Unit Data from Audit Worksheet'!C188</f>
        <v>Electric Fund Revenue, Expenses &amp; Changes in Fund Net Position</v>
      </c>
      <c r="C168" s="341" t="str">
        <f>'Unit Data from Audit Worksheet'!D188</f>
        <v>Total Operating revenues</v>
      </c>
      <c r="D168" s="361"/>
      <c r="E168" s="362">
        <f>'Unit Data from Audit Worksheet'!F188</f>
        <v>0</v>
      </c>
      <c r="F168" s="355" t="str">
        <f>IF(L167&gt;L168,"Error: Charges for services exceeds total operating revenues Acct 97&gt;=93"," ")</f>
        <v xml:space="preserve"> </v>
      </c>
      <c r="G168" s="357" t="str">
        <f>IF(Q168=1," Included in error count"," ")</f>
        <v xml:space="preserve"> </v>
      </c>
      <c r="H168" s="354">
        <f>'Unit Data from Audit Worksheet'!I188</f>
        <v>0</v>
      </c>
      <c r="I168" s="38"/>
      <c r="J168" s="353">
        <v>93</v>
      </c>
      <c r="K168" s="352" t="s">
        <v>237</v>
      </c>
      <c r="L168" s="601">
        <f t="shared" si="20"/>
        <v>0</v>
      </c>
      <c r="P168" s="324"/>
      <c r="Q168" s="591">
        <f>IF(L167&gt;L168,1,0)</f>
        <v>0</v>
      </c>
      <c r="W168" s="3" t="b">
        <f t="shared" si="19"/>
        <v>1</v>
      </c>
      <c r="X168" s="598">
        <f t="shared" si="12"/>
        <v>0</v>
      </c>
      <c r="Y168" s="598">
        <f t="shared" si="13"/>
        <v>0</v>
      </c>
    </row>
    <row r="169" spans="1:25" ht="45.75" customHeight="1" x14ac:dyDescent="0.3">
      <c r="A169" s="342">
        <f>'Unit Data from Audit Worksheet'!A189</f>
        <v>99</v>
      </c>
      <c r="B169" s="356" t="str">
        <f>'Unit Data from Audit Worksheet'!C189</f>
        <v>Electric Fund Revenue, Expenses &amp; Changes in Fund Net Position</v>
      </c>
      <c r="C169" s="341" t="str">
        <f>'Unit Data from Audit Worksheet'!D189</f>
        <v>Electrical power purchases</v>
      </c>
      <c r="D169" s="361"/>
      <c r="E169" s="362">
        <f>'Unit Data from Audit Worksheet'!F189</f>
        <v>0</v>
      </c>
      <c r="F169" s="355">
        <f>IF(L169&lt;0,"Error: Enter as a positive.",)</f>
        <v>0</v>
      </c>
      <c r="G169" s="357"/>
      <c r="H169" s="354">
        <f>'Unit Data from Audit Worksheet'!I189</f>
        <v>0</v>
      </c>
      <c r="I169" s="38"/>
      <c r="J169" s="353">
        <v>99</v>
      </c>
      <c r="K169" s="352" t="s">
        <v>238</v>
      </c>
      <c r="L169" s="601">
        <f t="shared" si="20"/>
        <v>0</v>
      </c>
      <c r="P169" s="324"/>
      <c r="W169" s="3" t="b">
        <f t="shared" si="19"/>
        <v>1</v>
      </c>
      <c r="X169" s="598">
        <f t="shared" si="12"/>
        <v>0</v>
      </c>
      <c r="Y169" s="598">
        <f t="shared" si="13"/>
        <v>0</v>
      </c>
    </row>
    <row r="170" spans="1:25" ht="45.75" customHeight="1" x14ac:dyDescent="0.3">
      <c r="A170" s="342">
        <f>'Unit Data from Audit Worksheet'!A190</f>
        <v>52</v>
      </c>
      <c r="B170" s="356" t="str">
        <f>'Unit Data from Audit Worksheet'!C190</f>
        <v>Electric Fund Revenue, Expenses &amp; Changes in Fund Net Position</v>
      </c>
      <c r="C170" s="341" t="str">
        <f>'Unit Data from Audit Worksheet'!D190</f>
        <v>Depreciation and amortization expense</v>
      </c>
      <c r="D170" s="361"/>
      <c r="E170" s="362">
        <f>'Unit Data from Audit Worksheet'!F190</f>
        <v>0</v>
      </c>
      <c r="F170" s="355">
        <f>IF(L170&lt;0,"Error: Enter as a positive.",)</f>
        <v>0</v>
      </c>
      <c r="G170" s="357"/>
      <c r="H170" s="354">
        <f>'Unit Data from Audit Worksheet'!I190</f>
        <v>0</v>
      </c>
      <c r="I170" s="38"/>
      <c r="J170" s="353">
        <v>52</v>
      </c>
      <c r="K170" s="352" t="s">
        <v>239</v>
      </c>
      <c r="L170" s="601">
        <f t="shared" si="20"/>
        <v>0</v>
      </c>
      <c r="P170" s="324"/>
      <c r="W170" s="3" t="b">
        <f t="shared" si="19"/>
        <v>1</v>
      </c>
      <c r="X170" s="598">
        <f t="shared" si="12"/>
        <v>0</v>
      </c>
      <c r="Y170" s="598">
        <f t="shared" si="13"/>
        <v>0</v>
      </c>
    </row>
    <row r="171" spans="1:25" ht="45.75" customHeight="1" x14ac:dyDescent="0.3">
      <c r="A171" s="342">
        <f>'Unit Data from Audit Worksheet'!A191</f>
        <v>94</v>
      </c>
      <c r="B171" s="356" t="str">
        <f>'Unit Data from Audit Worksheet'!C191</f>
        <v>Electric Fund Revenue, Expenses &amp; Changes in Fund Net Position</v>
      </c>
      <c r="C171" s="341" t="str">
        <f>'Unit Data from Audit Worksheet'!D191</f>
        <v>Total Operating expenses</v>
      </c>
      <c r="D171" s="361"/>
      <c r="E171" s="362">
        <f>'Unit Data from Audit Worksheet'!F191</f>
        <v>0</v>
      </c>
      <c r="F171" s="355">
        <f>IF(L171&lt;0,"Error: Enter as a positive.",)</f>
        <v>0</v>
      </c>
      <c r="G171" s="357"/>
      <c r="H171" s="354">
        <f>'Unit Data from Audit Worksheet'!I191</f>
        <v>0</v>
      </c>
      <c r="I171" s="38"/>
      <c r="J171" s="353">
        <v>94</v>
      </c>
      <c r="K171" s="352" t="s">
        <v>240</v>
      </c>
      <c r="L171" s="601">
        <f t="shared" si="20"/>
        <v>0</v>
      </c>
      <c r="P171" s="324"/>
      <c r="W171" s="3" t="b">
        <f t="shared" si="19"/>
        <v>1</v>
      </c>
      <c r="X171" s="598">
        <f t="shared" si="12"/>
        <v>0</v>
      </c>
      <c r="Y171" s="598">
        <f t="shared" si="13"/>
        <v>0</v>
      </c>
    </row>
    <row r="172" spans="1:25" ht="46.5" customHeight="1" x14ac:dyDescent="0.3">
      <c r="A172" s="342">
        <f>'Unit Data from Audit Worksheet'!A192</f>
        <v>98</v>
      </c>
      <c r="B172" s="356" t="str">
        <f>'Unit Data from Audit Worksheet'!C192</f>
        <v>Electric Fund Revenue, Expenses &amp; Changes in Fund Net Position</v>
      </c>
      <c r="C172" s="341" t="str">
        <f>'Unit Data from Audit Worksheet'!D192</f>
        <v>Interest expense</v>
      </c>
      <c r="D172" s="361"/>
      <c r="E172" s="362">
        <f>'Unit Data from Audit Worksheet'!F192</f>
        <v>0</v>
      </c>
      <c r="F172" s="355">
        <f>IF(L172&lt;0,"Error: Enter as a positive.",)</f>
        <v>0</v>
      </c>
      <c r="G172" s="357"/>
      <c r="H172" s="354">
        <f>'Unit Data from Audit Worksheet'!I192</f>
        <v>0</v>
      </c>
      <c r="I172" s="38"/>
      <c r="J172" s="353">
        <v>98</v>
      </c>
      <c r="K172" s="352" t="s">
        <v>241</v>
      </c>
      <c r="L172" s="601">
        <f t="shared" si="20"/>
        <v>0</v>
      </c>
      <c r="P172" s="324"/>
      <c r="W172" s="3" t="b">
        <f t="shared" si="19"/>
        <v>1</v>
      </c>
      <c r="X172" s="598">
        <f t="shared" si="12"/>
        <v>0</v>
      </c>
      <c r="Y172" s="598">
        <f t="shared" si="13"/>
        <v>0</v>
      </c>
    </row>
    <row r="173" spans="1:25" ht="51" customHeight="1" x14ac:dyDescent="0.3">
      <c r="A173" s="342">
        <f>'Unit Data from Audit Worksheet'!A193</f>
        <v>363</v>
      </c>
      <c r="B173" s="356" t="str">
        <f>'Unit Data from Audit Worksheet'!C193</f>
        <v>Electric Fund Revenue, Expenses &amp; Changes in Fund Net Position</v>
      </c>
      <c r="C173" s="341" t="str">
        <f>'Unit Data from Audit Worksheet'!D193</f>
        <v>Total all the non-operating revenues  
Exclude Capital Contributions.</v>
      </c>
      <c r="D173" s="361"/>
      <c r="E173" s="362">
        <f>'Unit Data from Audit Worksheet'!F193</f>
        <v>0</v>
      </c>
      <c r="F173" s="355"/>
      <c r="G173" s="357"/>
      <c r="H173" s="354">
        <f>'Unit Data from Audit Worksheet'!I193</f>
        <v>0</v>
      </c>
      <c r="I173" s="38"/>
      <c r="J173" s="353">
        <v>363</v>
      </c>
      <c r="K173" s="352" t="s">
        <v>242</v>
      </c>
      <c r="L173" s="601">
        <f t="shared" si="20"/>
        <v>0</v>
      </c>
      <c r="P173" s="324"/>
      <c r="W173" s="3" t="b">
        <f t="shared" si="19"/>
        <v>1</v>
      </c>
      <c r="X173" s="598">
        <f t="shared" si="12"/>
        <v>0</v>
      </c>
      <c r="Y173" s="598">
        <f t="shared" si="13"/>
        <v>0</v>
      </c>
    </row>
    <row r="174" spans="1:25" ht="60" customHeight="1" x14ac:dyDescent="0.3">
      <c r="A174" s="342">
        <f>'Unit Data from Audit Worksheet'!A194</f>
        <v>364</v>
      </c>
      <c r="B174" s="356" t="str">
        <f>'Unit Data from Audit Worksheet'!C194</f>
        <v>Electric Fund Revenue, Expenses &amp; Changes in Fund Net Position</v>
      </c>
      <c r="C174" s="341" t="str">
        <f>'Unit Data from Audit Worksheet'!D194</f>
        <v>Total all non-operating expenses.  
Include negative special, extraordinary, or capital contribution.</v>
      </c>
      <c r="D174" s="361"/>
      <c r="E174" s="362">
        <f>'Unit Data from Audit Worksheet'!F194</f>
        <v>0</v>
      </c>
      <c r="F174" s="355">
        <f>IF(L174&lt;0,"Error: Enter as a positive.",)</f>
        <v>0</v>
      </c>
      <c r="G174" s="357"/>
      <c r="H174" s="354">
        <f>'Unit Data from Audit Worksheet'!I194</f>
        <v>0</v>
      </c>
      <c r="I174" s="38"/>
      <c r="J174" s="353">
        <v>364</v>
      </c>
      <c r="K174" s="352" t="s">
        <v>243</v>
      </c>
      <c r="L174" s="601">
        <f t="shared" si="20"/>
        <v>0</v>
      </c>
      <c r="P174" s="324"/>
      <c r="W174" s="3" t="b">
        <f t="shared" si="19"/>
        <v>1</v>
      </c>
      <c r="X174" s="598">
        <f t="shared" si="12"/>
        <v>0</v>
      </c>
      <c r="Y174" s="598">
        <f t="shared" si="13"/>
        <v>0</v>
      </c>
    </row>
    <row r="175" spans="1:25" ht="89.25" customHeight="1" x14ac:dyDescent="0.3">
      <c r="A175" s="342">
        <f>'Unit Data from Audit Worksheet'!A195</f>
        <v>192</v>
      </c>
      <c r="B175" s="356" t="str">
        <f>'Unit Data from Audit Worksheet'!C195</f>
        <v>Electric Fund Revenue, Expenses &amp; Changes in Fund Net Position</v>
      </c>
      <c r="C175" s="341" t="str">
        <f>'Unit Data from Audit Worksheet'!D195</f>
        <v>Capital Contributions.  
Include only positive capital Contributions.  Negative capital contributions should be included with 'Total all non-operating expenses.'</v>
      </c>
      <c r="D175" s="361"/>
      <c r="E175" s="362">
        <f>'Unit Data from Audit Worksheet'!F195</f>
        <v>0</v>
      </c>
      <c r="F175" s="355">
        <f>IF(L175&lt;0,"Error: Enter as a positive.",)</f>
        <v>0</v>
      </c>
      <c r="G175" s="357"/>
      <c r="H175" s="354">
        <f>'Unit Data from Audit Worksheet'!I195</f>
        <v>0</v>
      </c>
      <c r="I175" s="38"/>
      <c r="J175" s="353">
        <v>192</v>
      </c>
      <c r="K175" s="352" t="s">
        <v>244</v>
      </c>
      <c r="L175" s="601">
        <f t="shared" si="20"/>
        <v>0</v>
      </c>
      <c r="P175" s="324"/>
      <c r="W175" s="3" t="b">
        <f t="shared" si="19"/>
        <v>1</v>
      </c>
      <c r="X175" s="598">
        <f t="shared" si="12"/>
        <v>0</v>
      </c>
      <c r="Y175" s="598">
        <f t="shared" si="13"/>
        <v>0</v>
      </c>
    </row>
    <row r="176" spans="1:25" ht="42.75" customHeight="1" x14ac:dyDescent="0.3">
      <c r="A176" s="342">
        <f>'Unit Data from Audit Worksheet'!A196</f>
        <v>365</v>
      </c>
      <c r="B176" s="356" t="str">
        <f>'Unit Data from Audit Worksheet'!C196</f>
        <v>Electric Fund Revenue, Expenses &amp; Changes in Fund Net Position</v>
      </c>
      <c r="C176" s="341" t="str">
        <f>'Unit Data from Audit Worksheet'!D196</f>
        <v>Total Transfers In (From all Funds)</v>
      </c>
      <c r="D176" s="361"/>
      <c r="E176" s="362">
        <f>'Unit Data from Audit Worksheet'!F196</f>
        <v>0</v>
      </c>
      <c r="F176" s="355"/>
      <c r="G176" s="357"/>
      <c r="H176" s="354">
        <f>'Unit Data from Audit Worksheet'!I196</f>
        <v>0</v>
      </c>
      <c r="I176" s="38"/>
      <c r="J176" s="353">
        <v>365</v>
      </c>
      <c r="K176" s="352" t="s">
        <v>245</v>
      </c>
      <c r="L176" s="601">
        <f t="shared" si="20"/>
        <v>0</v>
      </c>
      <c r="P176" s="324"/>
      <c r="W176" s="3" t="b">
        <f t="shared" si="19"/>
        <v>1</v>
      </c>
      <c r="X176" s="598">
        <f t="shared" si="12"/>
        <v>0</v>
      </c>
      <c r="Y176" s="598">
        <f t="shared" si="13"/>
        <v>0</v>
      </c>
    </row>
    <row r="177" spans="1:25" ht="42.75" customHeight="1" x14ac:dyDescent="0.3">
      <c r="A177" s="342">
        <f>'Unit Data from Audit Worksheet'!A197</f>
        <v>366</v>
      </c>
      <c r="B177" s="356" t="str">
        <f>'Unit Data from Audit Worksheet'!C197</f>
        <v>Electric Fund Revenue, Expenses &amp; Changes in Fund Net Position</v>
      </c>
      <c r="C177" s="341" t="str">
        <f>'Unit Data from Audit Worksheet'!D197</f>
        <v>Total Transfers Out (To all funds)</v>
      </c>
      <c r="D177" s="361"/>
      <c r="E177" s="362">
        <f>'Unit Data from Audit Worksheet'!F197</f>
        <v>0</v>
      </c>
      <c r="F177" s="355">
        <f>IF(L177&lt;0,"Error: Enter as a positive.",)</f>
        <v>0</v>
      </c>
      <c r="G177" s="357"/>
      <c r="H177" s="354">
        <f>'Unit Data from Audit Worksheet'!I197</f>
        <v>0</v>
      </c>
      <c r="I177" s="38"/>
      <c r="J177" s="353">
        <v>366</v>
      </c>
      <c r="K177" s="352" t="s">
        <v>536</v>
      </c>
      <c r="L177" s="601">
        <f t="shared" si="20"/>
        <v>0</v>
      </c>
      <c r="P177" s="324"/>
      <c r="W177" s="3" t="b">
        <f t="shared" si="19"/>
        <v>1</v>
      </c>
      <c r="X177" s="598">
        <f t="shared" si="12"/>
        <v>0</v>
      </c>
      <c r="Y177" s="598">
        <f t="shared" si="13"/>
        <v>0</v>
      </c>
    </row>
    <row r="178" spans="1:25" s="18" customFormat="1" ht="76.5" customHeight="1" x14ac:dyDescent="0.3">
      <c r="A178" s="342">
        <f>'Unit Data from Audit Worksheet'!A198</f>
        <v>53</v>
      </c>
      <c r="B178" s="356" t="str">
        <f>'Unit Data from Audit Worksheet'!C198</f>
        <v>Electric Fund Revenue, Expenses &amp; Changes in Fund Net Position</v>
      </c>
      <c r="C178" s="341" t="str">
        <f>'Unit Data from Audit Worksheet'!D198</f>
        <v>Change in net position - Increase in net position is recorded as a positive and a (decrease) in net position is recorded as a negative.</v>
      </c>
      <c r="D178" s="361"/>
      <c r="E178" s="362">
        <f>'Unit Data from Audit Worksheet'!F198</f>
        <v>0</v>
      </c>
      <c r="F178" s="355">
        <f>IF(L168-L171+L173-L174+L175+L176-L177-L178=0,,"Error: Total revenues less total exp. does not equal change in net position Acct 93-94+363-364+192+365-366-53=0")</f>
        <v>0</v>
      </c>
      <c r="G178" s="91">
        <f>+L168-L171+L173-L174+L175+L176-L177-L178</f>
        <v>0</v>
      </c>
      <c r="H178" s="354">
        <f>'Unit Data from Audit Worksheet'!I198</f>
        <v>0</v>
      </c>
      <c r="I178" s="38"/>
      <c r="J178" s="353">
        <v>53</v>
      </c>
      <c r="K178" s="352" t="s">
        <v>101</v>
      </c>
      <c r="L178" s="601">
        <f t="shared" si="20"/>
        <v>0</v>
      </c>
      <c r="P178" s="324"/>
      <c r="Q178" s="591">
        <f>IF(G178&lt;&gt;0,1,0)</f>
        <v>0</v>
      </c>
      <c r="R178" s="3"/>
      <c r="W178" s="3" t="b">
        <f t="shared" si="19"/>
        <v>1</v>
      </c>
      <c r="X178" s="598">
        <f t="shared" si="12"/>
        <v>0</v>
      </c>
      <c r="Y178" s="598">
        <f t="shared" si="13"/>
        <v>0</v>
      </c>
    </row>
    <row r="179" spans="1:25" ht="140.25" customHeight="1" x14ac:dyDescent="0.3">
      <c r="A179" s="342">
        <f>'Unit Data from Audit Worksheet'!A199</f>
        <v>378</v>
      </c>
      <c r="B179" s="356" t="str">
        <f>'Unit Data from Audit Worksheet'!C199</f>
        <v>Electric Fund Revenue, Expenses &amp; Changes in Fund Net Position</v>
      </c>
      <c r="C179" s="341"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61"/>
      <c r="E179" s="362">
        <f>+'Unit Data from Audit Worksheet'!F199</f>
        <v>0</v>
      </c>
      <c r="F179" s="355" t="e">
        <f>IF(L151-L178-L179=O151,,"Error: Beg. Bal does not agree with our records Acct 362-53-378= pr yr 362")</f>
        <v>#N/A</v>
      </c>
      <c r="G179" s="91" t="e">
        <f>L151-L178-L179-O151</f>
        <v>#N/A</v>
      </c>
      <c r="H179" s="354" t="str">
        <f>'Unit Data from Audit Worksheet'!I199</f>
        <v>Please do not enter prior's years beginning balance as an adjustment in column F.</v>
      </c>
      <c r="I179" s="38"/>
      <c r="J179" s="353">
        <v>378</v>
      </c>
      <c r="K179" s="352" t="s">
        <v>110</v>
      </c>
      <c r="L179" s="601">
        <f t="shared" si="20"/>
        <v>0</v>
      </c>
      <c r="P179" s="324"/>
      <c r="Q179" s="591" t="e">
        <f>IF(G179&lt;&gt;0,1,0)</f>
        <v>#N/A</v>
      </c>
      <c r="W179" s="3" t="b">
        <f t="shared" si="19"/>
        <v>1</v>
      </c>
      <c r="X179" s="598">
        <f t="shared" si="12"/>
        <v>0</v>
      </c>
      <c r="Y179" s="598">
        <f t="shared" si="13"/>
        <v>0</v>
      </c>
    </row>
    <row r="180" spans="1:25" ht="28.8" x14ac:dyDescent="0.3">
      <c r="A180" s="342">
        <f>'Unit Data from Audit Worksheet'!A204</f>
        <v>51</v>
      </c>
      <c r="B180" s="356" t="str">
        <f>'Unit Data from Audit Worksheet'!C204</f>
        <v>Water Sewer Cash Flow Statement</v>
      </c>
      <c r="C180" s="341" t="str">
        <f>'Unit Data from Audit Worksheet'!D204</f>
        <v>Total Cash flow from operating activities  - (Enter negative cash flows as negative)</v>
      </c>
      <c r="D180" s="361"/>
      <c r="E180" s="362">
        <f>'Unit Data from Audit Worksheet'!F204</f>
        <v>0</v>
      </c>
      <c r="F180" s="355"/>
      <c r="G180" s="357"/>
      <c r="H180" s="354">
        <f>'Unit Data from Audit Worksheet'!I204</f>
        <v>0</v>
      </c>
      <c r="I180" s="38"/>
      <c r="J180" s="353">
        <v>51</v>
      </c>
      <c r="K180" s="352" t="s">
        <v>246</v>
      </c>
      <c r="L180" s="601">
        <f t="shared" si="20"/>
        <v>0</v>
      </c>
      <c r="P180" s="324"/>
      <c r="W180" s="3" t="b">
        <f t="shared" si="19"/>
        <v>1</v>
      </c>
      <c r="X180" s="598">
        <f t="shared" si="12"/>
        <v>0</v>
      </c>
      <c r="Y180" s="598">
        <f t="shared" si="13"/>
        <v>0</v>
      </c>
    </row>
    <row r="181" spans="1:25" ht="64.5" customHeight="1" x14ac:dyDescent="0.3">
      <c r="A181" s="342">
        <f>'Unit Data from Audit Worksheet'!A205</f>
        <v>332</v>
      </c>
      <c r="B181" s="356" t="str">
        <f>'Unit Data from Audit Worksheet'!C205</f>
        <v>Water Sewer Cash Flow Statement</v>
      </c>
      <c r="C181" s="341" t="str">
        <f>'Unit Data from Audit Worksheet'!D205</f>
        <v>Total Capital outlay. 
Include acquisition and construction of capital assets.</v>
      </c>
      <c r="D181" s="361"/>
      <c r="E181" s="362">
        <f>'Unit Data from Audit Worksheet'!F205</f>
        <v>0</v>
      </c>
      <c r="F181" s="355">
        <f>IF(L181&lt;0,"Error: Enter as a positive.",)</f>
        <v>0</v>
      </c>
      <c r="G181" s="357"/>
      <c r="H181" s="354">
        <f>'Unit Data from Audit Worksheet'!I205</f>
        <v>0</v>
      </c>
      <c r="I181" s="38"/>
      <c r="J181" s="353">
        <v>332</v>
      </c>
      <c r="K181" s="352" t="s">
        <v>248</v>
      </c>
      <c r="L181" s="601">
        <f t="shared" si="20"/>
        <v>0</v>
      </c>
      <c r="O181" s="609"/>
      <c r="P181" s="324"/>
      <c r="W181" s="3" t="b">
        <f t="shared" si="19"/>
        <v>1</v>
      </c>
      <c r="X181" s="598">
        <f t="shared" si="12"/>
        <v>0</v>
      </c>
      <c r="Y181" s="598">
        <f t="shared" si="13"/>
        <v>0</v>
      </c>
    </row>
    <row r="182" spans="1:25" ht="58.5" customHeight="1" x14ac:dyDescent="0.3">
      <c r="A182" s="342">
        <f>'Unit Data from Audit Worksheet'!A206</f>
        <v>331</v>
      </c>
      <c r="B182" s="356" t="str">
        <f>'Unit Data from Audit Worksheet'!C206</f>
        <v>Water Sewer Cash Flow Statement</v>
      </c>
      <c r="C182" s="341" t="str">
        <f>'Unit Data from Audit Worksheet'!D206</f>
        <v>Principal paid on long-term debt.  Amount should be reduced by principal payments for debt refunding.</v>
      </c>
      <c r="D182" s="361"/>
      <c r="E182" s="362">
        <f>'Unit Data from Audit Worksheet'!F206</f>
        <v>0</v>
      </c>
      <c r="F182" s="355">
        <f>IF(L182&lt;0,"Error: Enter as a positive.",)</f>
        <v>0</v>
      </c>
      <c r="G182" s="357"/>
      <c r="H182" s="354">
        <f>'Unit Data from Audit Worksheet'!I206</f>
        <v>0</v>
      </c>
      <c r="I182" s="38"/>
      <c r="J182" s="353">
        <v>331</v>
      </c>
      <c r="K182" s="352" t="s">
        <v>247</v>
      </c>
      <c r="L182" s="601">
        <f t="shared" si="20"/>
        <v>0</v>
      </c>
      <c r="O182" s="609"/>
      <c r="P182" s="324"/>
      <c r="W182" s="3" t="b">
        <f t="shared" si="19"/>
        <v>1</v>
      </c>
      <c r="X182" s="598">
        <f t="shared" ref="X182:X276" si="21">E182-L182</f>
        <v>0</v>
      </c>
      <c r="Y182" s="598">
        <f t="shared" ref="Y182:Y276" si="22">D182-L182</f>
        <v>0</v>
      </c>
    </row>
    <row r="183" spans="1:25" ht="51.75" customHeight="1" x14ac:dyDescent="0.3">
      <c r="A183" s="342">
        <f>'Unit Data from Audit Worksheet'!A208</f>
        <v>55</v>
      </c>
      <c r="B183" s="356" t="str">
        <f>'Unit Data from Audit Worksheet'!C208</f>
        <v>Electric Fund Cash Flow Statement</v>
      </c>
      <c r="C183" s="341" t="str">
        <f>'Unit Data from Audit Worksheet'!D208</f>
        <v>Cash flow from operating activities - (enter negative cash flows as negative)</v>
      </c>
      <c r="D183" s="361"/>
      <c r="E183" s="362">
        <f>'Unit Data from Audit Worksheet'!F208</f>
        <v>0</v>
      </c>
      <c r="F183" s="355"/>
      <c r="G183" s="357"/>
      <c r="H183" s="354">
        <f>'Unit Data from Audit Worksheet'!I208</f>
        <v>0</v>
      </c>
      <c r="I183" s="38"/>
      <c r="J183" s="353">
        <v>55</v>
      </c>
      <c r="K183" s="352" t="s">
        <v>249</v>
      </c>
      <c r="L183" s="601">
        <f t="shared" si="20"/>
        <v>0</v>
      </c>
      <c r="P183" s="324"/>
      <c r="W183" s="3" t="b">
        <f t="shared" si="19"/>
        <v>1</v>
      </c>
      <c r="X183" s="598">
        <f t="shared" si="21"/>
        <v>0</v>
      </c>
      <c r="Y183" s="598">
        <f t="shared" si="22"/>
        <v>0</v>
      </c>
    </row>
    <row r="184" spans="1:25" ht="58.5" customHeight="1" x14ac:dyDescent="0.3">
      <c r="A184" s="342">
        <f>'Unit Data from Audit Worksheet'!A209</f>
        <v>101</v>
      </c>
      <c r="B184" s="356" t="str">
        <f>'Unit Data from Audit Worksheet'!C209</f>
        <v>Electric Fund Cash Flow Statement</v>
      </c>
      <c r="C184" s="341" t="str">
        <f>'Unit Data from Audit Worksheet'!D209</f>
        <v>Total Capital outlay.  
Include acquisition and construction of capital assets.</v>
      </c>
      <c r="D184" s="361"/>
      <c r="E184" s="362">
        <f>'Unit Data from Audit Worksheet'!F209</f>
        <v>0</v>
      </c>
      <c r="F184" s="355">
        <f>IF(L184&lt;0,"Error: Enter as a positive.",)</f>
        <v>0</v>
      </c>
      <c r="G184" s="357"/>
      <c r="H184" s="354">
        <f>'Unit Data from Audit Worksheet'!I209</f>
        <v>0</v>
      </c>
      <c r="I184" s="38"/>
      <c r="J184" s="353">
        <v>101</v>
      </c>
      <c r="K184" s="352" t="s">
        <v>250</v>
      </c>
      <c r="L184" s="601">
        <f t="shared" si="20"/>
        <v>0</v>
      </c>
      <c r="P184" s="324"/>
      <c r="W184" s="3" t="b">
        <f t="shared" si="19"/>
        <v>1</v>
      </c>
      <c r="X184" s="598">
        <f t="shared" si="21"/>
        <v>0</v>
      </c>
      <c r="Y184" s="598">
        <f t="shared" si="22"/>
        <v>0</v>
      </c>
    </row>
    <row r="185" spans="1:25" ht="60.75" customHeight="1" x14ac:dyDescent="0.3">
      <c r="A185" s="342">
        <f>'Unit Data from Audit Worksheet'!A210</f>
        <v>100</v>
      </c>
      <c r="B185" s="356" t="str">
        <f>'Unit Data from Audit Worksheet'!C210</f>
        <v>Electric Fund Cash Flow Statement</v>
      </c>
      <c r="C185" s="341" t="str">
        <f>'Unit Data from Audit Worksheet'!D210</f>
        <v>Principal paid on long-term debt.  Amount should be reduced by principal payments for debt refunding.</v>
      </c>
      <c r="D185" s="361"/>
      <c r="E185" s="362">
        <f>'Unit Data from Audit Worksheet'!F210</f>
        <v>0</v>
      </c>
      <c r="F185" s="355">
        <f>IF(L185&lt;0,"Error: Enter as a positive.",)</f>
        <v>0</v>
      </c>
      <c r="G185" s="357"/>
      <c r="H185" s="354">
        <f>'Unit Data from Audit Worksheet'!I210</f>
        <v>0</v>
      </c>
      <c r="I185" s="38"/>
      <c r="J185" s="353">
        <v>100</v>
      </c>
      <c r="K185" s="352" t="s">
        <v>251</v>
      </c>
      <c r="L185" s="601">
        <f t="shared" si="20"/>
        <v>0</v>
      </c>
      <c r="P185" s="324"/>
      <c r="W185" s="3" t="b">
        <f t="shared" si="19"/>
        <v>1</v>
      </c>
      <c r="X185" s="598">
        <f t="shared" si="21"/>
        <v>0</v>
      </c>
      <c r="Y185" s="598">
        <f t="shared" si="22"/>
        <v>0</v>
      </c>
    </row>
    <row r="186" spans="1:25" ht="71.25" customHeight="1" x14ac:dyDescent="0.3">
      <c r="A186" s="342">
        <f>'Unit Data from Audit Worksheet'!A212</f>
        <v>512</v>
      </c>
      <c r="B186" s="356" t="str">
        <f>'Unit Data from Audit Worksheet'!C212</f>
        <v>Fiduciary Statements</v>
      </c>
      <c r="C186" s="341" t="str">
        <f>'Unit Data from Audit Worksheet'!D212</f>
        <v>Cash and investments.  
Include:  unrestricted and restricted.  
                   cash and investments held 
                   by a third party</v>
      </c>
      <c r="D186" s="361"/>
      <c r="E186" s="362">
        <f>'Unit Data from Audit Worksheet'!F212</f>
        <v>0</v>
      </c>
      <c r="F186" s="355">
        <f>IF(L186&lt;0,"Error: Number is normally positive.",)</f>
        <v>0</v>
      </c>
      <c r="G186" s="357"/>
      <c r="H186" s="354">
        <f>'Unit Data from Audit Worksheet'!I212</f>
        <v>0</v>
      </c>
      <c r="I186" s="38"/>
      <c r="J186" s="353">
        <v>512</v>
      </c>
      <c r="K186" s="352" t="s">
        <v>252</v>
      </c>
      <c r="L186" s="601">
        <f t="shared" si="20"/>
        <v>0</v>
      </c>
      <c r="P186" s="324"/>
      <c r="W186" s="3" t="b">
        <f t="shared" si="19"/>
        <v>1</v>
      </c>
      <c r="X186" s="598">
        <f t="shared" si="21"/>
        <v>0</v>
      </c>
      <c r="Y186" s="598">
        <f t="shared" si="22"/>
        <v>0</v>
      </c>
    </row>
    <row r="187" spans="1:25" ht="62.25" customHeight="1" x14ac:dyDescent="0.3">
      <c r="A187" s="342">
        <f>'Unit Data from Audit Worksheet'!A214</f>
        <v>656</v>
      </c>
      <c r="B187" s="356">
        <f>'Unit Data from Audit Worksheet'!C214</f>
        <v>0</v>
      </c>
      <c r="C187" s="341" t="str">
        <f>'Unit Data from Audit Worksheet'!D214</f>
        <v>Do you use prepared food/occupancy tax revenue stream to support debt?  Select "1" for Yes and "2" for No</v>
      </c>
      <c r="D187" s="138"/>
      <c r="E187" s="362">
        <f>'Unit Data from Audit Worksheet'!F214</f>
        <v>0</v>
      </c>
      <c r="F187" s="355"/>
      <c r="G187" s="357"/>
      <c r="H187" s="354"/>
      <c r="I187" s="38"/>
      <c r="J187" s="353">
        <v>656</v>
      </c>
      <c r="K187" s="359" t="s">
        <v>824</v>
      </c>
      <c r="L187" s="627">
        <f>E187</f>
        <v>0</v>
      </c>
      <c r="M187" s="18"/>
      <c r="N187" s="18"/>
      <c r="O187" s="18"/>
      <c r="P187" s="324"/>
      <c r="W187" s="3" t="b">
        <f t="shared" si="19"/>
        <v>1</v>
      </c>
      <c r="X187" s="598">
        <f t="shared" si="21"/>
        <v>0</v>
      </c>
      <c r="Y187" s="598">
        <f t="shared" si="22"/>
        <v>0</v>
      </c>
    </row>
    <row r="188" spans="1:25" s="18" customFormat="1" ht="102.75" customHeight="1" x14ac:dyDescent="0.3">
      <c r="A188" s="342">
        <f>'Unit Data from Audit Worksheet'!A216</f>
        <v>535</v>
      </c>
      <c r="B188" s="356" t="str">
        <f>'Unit Data from Audit Worksheet'!C216</f>
        <v>Cash and Investment Note</v>
      </c>
      <c r="C188" s="341" t="str">
        <f>'Unit Data from Audit Worksheet'!D216</f>
        <v>Cash and Investment - Please list the book value of any unspent debt proceeds (bonds, installment, etc.) in any funds as of June 30.  This information may be on the face of your statements or in the notes</v>
      </c>
      <c r="D188" s="361"/>
      <c r="E188" s="362">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7"/>
      <c r="H188" s="354">
        <f>'Unit Data from Audit Worksheet'!I216</f>
        <v>0</v>
      </c>
      <c r="I188" s="38"/>
      <c r="J188" s="353">
        <v>535</v>
      </c>
      <c r="K188" s="62" t="s">
        <v>253</v>
      </c>
      <c r="L188" s="601">
        <f t="shared" si="20"/>
        <v>0</v>
      </c>
      <c r="P188" s="324"/>
      <c r="Q188" s="591"/>
      <c r="R188" s="3"/>
      <c r="W188" s="3" t="b">
        <f t="shared" si="19"/>
        <v>1</v>
      </c>
      <c r="X188" s="598">
        <f t="shared" si="21"/>
        <v>0</v>
      </c>
      <c r="Y188" s="598">
        <f t="shared" si="22"/>
        <v>0</v>
      </c>
    </row>
    <row r="189" spans="1:25" ht="45.75" customHeight="1" x14ac:dyDescent="0.3">
      <c r="A189" s="342">
        <f>'Unit Data from Audit Worksheet'!A220</f>
        <v>334</v>
      </c>
      <c r="B189" s="356" t="str">
        <f>'Unit Data from Audit Worksheet'!C220</f>
        <v>Gov.-Capital Assets Schedule in the Notes</v>
      </c>
      <c r="C189" s="341" t="str">
        <f>'Unit Data from Audit Worksheet'!D220</f>
        <v>Gross value.  
Exclude non-depreciable.</v>
      </c>
      <c r="D189" s="361"/>
      <c r="E189" s="362">
        <f>'Unit Data from Audit Worksheet'!F220</f>
        <v>0</v>
      </c>
      <c r="F189" s="87"/>
      <c r="G189" s="357"/>
      <c r="H189" s="354">
        <f>'Unit Data from Audit Worksheet'!I220</f>
        <v>0</v>
      </c>
      <c r="I189" s="38"/>
      <c r="J189" s="353">
        <v>334</v>
      </c>
      <c r="K189" s="62" t="s">
        <v>276</v>
      </c>
      <c r="L189" s="601">
        <f t="shared" si="20"/>
        <v>0</v>
      </c>
      <c r="P189" s="324"/>
      <c r="W189" s="3" t="b">
        <f t="shared" si="19"/>
        <v>1</v>
      </c>
      <c r="X189" s="598">
        <f t="shared" si="21"/>
        <v>0</v>
      </c>
      <c r="Y189" s="598">
        <f t="shared" si="22"/>
        <v>0</v>
      </c>
    </row>
    <row r="190" spans="1:25" ht="57" customHeight="1" x14ac:dyDescent="0.3">
      <c r="A190" s="342">
        <f>'Unit Data from Audit Worksheet'!A221</f>
        <v>373</v>
      </c>
      <c r="B190" s="356" t="str">
        <f>'Unit Data from Audit Worksheet'!C221</f>
        <v>Gov.-Capital Assets Schedule in the Notes</v>
      </c>
      <c r="C190" s="341" t="str">
        <f>'Unit Data from Audit Worksheet'!D221</f>
        <v>Accumulated depreciation</v>
      </c>
      <c r="D190" s="361"/>
      <c r="E190" s="362">
        <f>'Unit Data from Audit Worksheet'!F221</f>
        <v>0</v>
      </c>
      <c r="F190" s="87"/>
      <c r="G190" s="357"/>
      <c r="H190" s="354">
        <f>'Unit Data from Audit Worksheet'!I221</f>
        <v>0</v>
      </c>
      <c r="I190" s="38"/>
      <c r="J190" s="353">
        <v>373</v>
      </c>
      <c r="K190" s="58" t="s">
        <v>549</v>
      </c>
      <c r="L190" s="601">
        <f t="shared" si="20"/>
        <v>0</v>
      </c>
      <c r="P190" s="324"/>
      <c r="W190" s="3" t="b">
        <f t="shared" si="19"/>
        <v>1</v>
      </c>
      <c r="X190" s="598">
        <f t="shared" si="21"/>
        <v>0</v>
      </c>
      <c r="Y190" s="598">
        <f t="shared" si="22"/>
        <v>0</v>
      </c>
    </row>
    <row r="191" spans="1:25" ht="102.75" customHeight="1" x14ac:dyDescent="0.3">
      <c r="A191" s="617">
        <f>'Unit Data from Audit Worksheet'!A222</f>
        <v>987</v>
      </c>
      <c r="B191" s="360">
        <f>'Unit Data from Audit Worksheet'!C222</f>
        <v>0</v>
      </c>
      <c r="C191" s="618" t="str">
        <f>'Unit Data from Audit Worksheet'!D222</f>
        <v xml:space="preserve">Estimated cost not yet budgeted of any mandate placed on unit by DEQ, a court order or some similar requirement (that has no realistic appeal path). </v>
      </c>
      <c r="D191" s="361"/>
      <c r="E191" s="362">
        <f>'Unit Data from Audit Worksheet'!F222</f>
        <v>0</v>
      </c>
      <c r="F191" s="87"/>
      <c r="G191" s="357"/>
      <c r="H191" s="354">
        <f>'Unit Data from Audit Worksheet'!I222</f>
        <v>0</v>
      </c>
      <c r="I191" s="38"/>
      <c r="J191" s="371">
        <v>987</v>
      </c>
      <c r="K191" s="628" t="s">
        <v>1411</v>
      </c>
      <c r="L191" s="619">
        <f t="shared" si="20"/>
        <v>0</v>
      </c>
      <c r="P191" s="324"/>
      <c r="W191" s="3" t="b">
        <f t="shared" si="19"/>
        <v>1</v>
      </c>
      <c r="X191" s="598"/>
      <c r="Y191" s="598"/>
    </row>
    <row r="192" spans="1:25" ht="69" customHeight="1" x14ac:dyDescent="0.3">
      <c r="A192" s="617">
        <f>'Unit Data from Audit Worksheet'!A223</f>
        <v>988</v>
      </c>
      <c r="B192" s="360">
        <f>'Unit Data from Audit Worksheet'!C223</f>
        <v>0</v>
      </c>
      <c r="C192" s="618" t="str">
        <f>'Unit Data from Audit Worksheet'!D223</f>
        <v>Do you operate a landfill that will be closing  or have a significant portion closing within the next 5 years?  Select "1" for Yes and "2" for No</v>
      </c>
      <c r="D192" s="361"/>
      <c r="E192" s="362">
        <f>'Unit Data from Audit Worksheet'!F223</f>
        <v>0</v>
      </c>
      <c r="F192" s="87"/>
      <c r="G192" s="357"/>
      <c r="H192" s="354">
        <f>'Unit Data from Audit Worksheet'!I223</f>
        <v>0</v>
      </c>
      <c r="I192" s="38"/>
      <c r="J192" s="371">
        <v>988</v>
      </c>
      <c r="K192" s="628" t="s">
        <v>1826</v>
      </c>
      <c r="L192" s="619">
        <f t="shared" si="20"/>
        <v>0</v>
      </c>
      <c r="P192" s="324"/>
      <c r="W192" s="3" t="b">
        <f t="shared" si="19"/>
        <v>1</v>
      </c>
      <c r="X192" s="598"/>
      <c r="Y192" s="598"/>
    </row>
    <row r="193" spans="1:25" ht="95.25" customHeight="1" x14ac:dyDescent="0.3">
      <c r="A193" s="617">
        <f>'Unit Data from Audit Worksheet'!A224</f>
        <v>989</v>
      </c>
      <c r="B193" s="360">
        <f>'Unit Data from Audit Worksheet'!C224</f>
        <v>0</v>
      </c>
      <c r="C193" s="618" t="str">
        <f>'Unit Data from Audit Worksheet'!D224</f>
        <v>If you answered "yes" to question #988 above, will you have the closure/postclosure cost fully funded by the date of closure?  Select "1" for Yes,  "2" for No, or "3" for N/A.</v>
      </c>
      <c r="D193" s="361"/>
      <c r="E193" s="362">
        <f>'Unit Data from Audit Worksheet'!F224</f>
        <v>0</v>
      </c>
      <c r="F193" s="87"/>
      <c r="G193" s="357"/>
      <c r="H193" s="354">
        <f>'Unit Data from Audit Worksheet'!I224</f>
        <v>0</v>
      </c>
      <c r="I193" s="38"/>
      <c r="J193" s="371">
        <v>989</v>
      </c>
      <c r="K193" s="628" t="s">
        <v>1684</v>
      </c>
      <c r="L193" s="619">
        <f t="shared" si="20"/>
        <v>0</v>
      </c>
      <c r="P193" s="324"/>
      <c r="W193" s="3" t="b">
        <f t="shared" si="19"/>
        <v>1</v>
      </c>
      <c r="X193" s="598"/>
      <c r="Y193" s="598"/>
    </row>
    <row r="194" spans="1:25" ht="57" customHeight="1" x14ac:dyDescent="0.3">
      <c r="A194" s="342">
        <f>'Unit Data from Audit Worksheet'!A228</f>
        <v>327</v>
      </c>
      <c r="B194" s="356" t="str">
        <f>'Unit Data from Audit Worksheet'!C228</f>
        <v>WS-Capital Assets Schedule in the Notes</v>
      </c>
      <c r="C194" s="341" t="str">
        <f>'Unit Data from Audit Worksheet'!D228</f>
        <v>Land and all other non depreciable capital assets 
Exclude construction in progress</v>
      </c>
      <c r="D194" s="361"/>
      <c r="E194" s="362">
        <f>'Unit Data from Audit Worksheet'!F228</f>
        <v>0</v>
      </c>
      <c r="F194" s="87"/>
      <c r="G194" s="357"/>
      <c r="H194" s="354">
        <f>'Unit Data from Audit Worksheet'!I228</f>
        <v>0</v>
      </c>
      <c r="I194" s="38"/>
      <c r="J194" s="353">
        <v>327</v>
      </c>
      <c r="K194" s="58" t="s">
        <v>550</v>
      </c>
      <c r="L194" s="601">
        <f t="shared" si="20"/>
        <v>0</v>
      </c>
      <c r="P194" s="324"/>
      <c r="W194" s="3" t="b">
        <f t="shared" si="19"/>
        <v>1</v>
      </c>
      <c r="X194" s="598">
        <f t="shared" si="21"/>
        <v>0</v>
      </c>
      <c r="Y194" s="598">
        <f t="shared" si="22"/>
        <v>0</v>
      </c>
    </row>
    <row r="195" spans="1:25" ht="57" customHeight="1" x14ac:dyDescent="0.3">
      <c r="A195" s="342">
        <f>'Unit Data from Audit Worksheet'!A229</f>
        <v>328</v>
      </c>
      <c r="B195" s="356" t="str">
        <f>'Unit Data from Audit Worksheet'!C229</f>
        <v>WS-Capital Assets Schedule in the Notes</v>
      </c>
      <c r="C195" s="341" t="str">
        <f>'Unit Data from Audit Worksheet'!D229</f>
        <v>Construction in progress</v>
      </c>
      <c r="D195" s="361"/>
      <c r="E195" s="362">
        <f>'Unit Data from Audit Worksheet'!F229</f>
        <v>0</v>
      </c>
      <c r="F195" s="87"/>
      <c r="G195" s="357"/>
      <c r="H195" s="354">
        <f>'Unit Data from Audit Worksheet'!I229</f>
        <v>0</v>
      </c>
      <c r="I195" s="38"/>
      <c r="J195" s="353">
        <v>328</v>
      </c>
      <c r="K195" s="58" t="s">
        <v>551</v>
      </c>
      <c r="L195" s="601">
        <f t="shared" si="20"/>
        <v>0</v>
      </c>
      <c r="P195" s="324"/>
      <c r="W195" s="3" t="b">
        <f t="shared" si="19"/>
        <v>1</v>
      </c>
      <c r="X195" s="598">
        <f t="shared" si="21"/>
        <v>0</v>
      </c>
      <c r="Y195" s="598">
        <f t="shared" si="22"/>
        <v>0</v>
      </c>
    </row>
    <row r="196" spans="1:25" ht="46.5" customHeight="1" x14ac:dyDescent="0.3">
      <c r="A196" s="342">
        <f>'Unit Data from Audit Worksheet'!A233</f>
        <v>515</v>
      </c>
      <c r="B196" s="356" t="str">
        <f>'Unit Data from Audit Worksheet'!C233</f>
        <v>WS Capital Assets Schedule-Gross Value</v>
      </c>
      <c r="C196" s="341" t="str">
        <f>'Unit Data from Audit Worksheet'!D233</f>
        <v>Buildings</v>
      </c>
      <c r="D196" s="361"/>
      <c r="E196" s="362">
        <f>'Unit Data from Audit Worksheet'!F233</f>
        <v>0</v>
      </c>
      <c r="F196" s="87"/>
      <c r="G196" s="357"/>
      <c r="H196" s="354">
        <f>'Unit Data from Audit Worksheet'!I233</f>
        <v>0</v>
      </c>
      <c r="I196" s="38"/>
      <c r="J196" s="353">
        <v>515</v>
      </c>
      <c r="K196" s="58" t="s">
        <v>277</v>
      </c>
      <c r="L196" s="601">
        <f t="shared" si="20"/>
        <v>0</v>
      </c>
      <c r="P196" s="324"/>
      <c r="W196" s="3" t="b">
        <f t="shared" si="19"/>
        <v>1</v>
      </c>
      <c r="X196" s="598">
        <f t="shared" si="21"/>
        <v>0</v>
      </c>
      <c r="Y196" s="598">
        <f t="shared" si="22"/>
        <v>0</v>
      </c>
    </row>
    <row r="197" spans="1:25" ht="46.5" customHeight="1" x14ac:dyDescent="0.3">
      <c r="A197" s="342">
        <f>'Unit Data from Audit Worksheet'!A234</f>
        <v>516</v>
      </c>
      <c r="B197" s="356" t="str">
        <f>'Unit Data from Audit Worksheet'!C234</f>
        <v>WS Capital Assets Schedule-Gross Value</v>
      </c>
      <c r="C197" s="341" t="str">
        <f>'Unit Data from Audit Worksheet'!D234</f>
        <v>Plant / distributions systems / water lines</v>
      </c>
      <c r="D197" s="361"/>
      <c r="E197" s="362">
        <f>'Unit Data from Audit Worksheet'!F234</f>
        <v>0</v>
      </c>
      <c r="F197" s="87"/>
      <c r="G197" s="357"/>
      <c r="H197" s="354">
        <f>'Unit Data from Audit Worksheet'!I234</f>
        <v>0</v>
      </c>
      <c r="I197" s="38"/>
      <c r="J197" s="353">
        <v>516</v>
      </c>
      <c r="K197" s="58" t="s">
        <v>278</v>
      </c>
      <c r="L197" s="601">
        <f t="shared" si="20"/>
        <v>0</v>
      </c>
      <c r="P197" s="324"/>
      <c r="W197" s="3" t="b">
        <f t="shared" ref="W197:W228" si="23">EXACT(A197,J197)</f>
        <v>1</v>
      </c>
      <c r="X197" s="598">
        <f t="shared" si="21"/>
        <v>0</v>
      </c>
      <c r="Y197" s="598">
        <f t="shared" si="22"/>
        <v>0</v>
      </c>
    </row>
    <row r="198" spans="1:25" ht="46.5" customHeight="1" x14ac:dyDescent="0.3">
      <c r="A198" s="342">
        <f>'Unit Data from Audit Worksheet'!A235</f>
        <v>517</v>
      </c>
      <c r="B198" s="356" t="str">
        <f>'Unit Data from Audit Worksheet'!C235</f>
        <v>WS Capital Assets Schedule-Gross Value</v>
      </c>
      <c r="C198" s="341" t="str">
        <f>'Unit Data from Audit Worksheet'!D235</f>
        <v>Infrastructure(other infrastructure)</v>
      </c>
      <c r="D198" s="361"/>
      <c r="E198" s="362">
        <f>'Unit Data from Audit Worksheet'!F235</f>
        <v>0</v>
      </c>
      <c r="F198" s="87"/>
      <c r="G198" s="357"/>
      <c r="H198" s="354">
        <f>'Unit Data from Audit Worksheet'!I235</f>
        <v>0</v>
      </c>
      <c r="I198" s="38"/>
      <c r="J198" s="353">
        <v>517</v>
      </c>
      <c r="K198" s="629" t="s">
        <v>279</v>
      </c>
      <c r="L198" s="601">
        <f t="shared" si="20"/>
        <v>0</v>
      </c>
      <c r="P198" s="324"/>
      <c r="W198" s="3" t="b">
        <f t="shared" si="23"/>
        <v>1</v>
      </c>
      <c r="X198" s="598">
        <f t="shared" si="21"/>
        <v>0</v>
      </c>
      <c r="Y198" s="598">
        <f t="shared" si="22"/>
        <v>0</v>
      </c>
    </row>
    <row r="199" spans="1:25" ht="46.5" customHeight="1" x14ac:dyDescent="0.3">
      <c r="A199" s="342">
        <f>'Unit Data from Audit Worksheet'!A236</f>
        <v>518</v>
      </c>
      <c r="B199" s="356" t="str">
        <f>'Unit Data from Audit Worksheet'!C236</f>
        <v>WS Capital Assets Schedule-Gross Value</v>
      </c>
      <c r="C199" s="341" t="str">
        <f>'Unit Data from Audit Worksheet'!D236</f>
        <v>All other depreciable capital assets</v>
      </c>
      <c r="D199" s="361"/>
      <c r="E199" s="362">
        <f>'Unit Data from Audit Worksheet'!F236</f>
        <v>0</v>
      </c>
      <c r="F199" s="87"/>
      <c r="G199" s="357"/>
      <c r="H199" s="354">
        <f>'Unit Data from Audit Worksheet'!I236</f>
        <v>0</v>
      </c>
      <c r="I199" s="38"/>
      <c r="J199" s="353">
        <v>518</v>
      </c>
      <c r="K199" s="629" t="s">
        <v>280</v>
      </c>
      <c r="L199" s="601">
        <f t="shared" si="20"/>
        <v>0</v>
      </c>
      <c r="P199" s="324"/>
      <c r="W199" s="3" t="b">
        <f t="shared" si="23"/>
        <v>1</v>
      </c>
      <c r="X199" s="598">
        <f t="shared" si="21"/>
        <v>0</v>
      </c>
      <c r="Y199" s="598">
        <f t="shared" si="22"/>
        <v>0</v>
      </c>
    </row>
    <row r="200" spans="1:25" ht="52.5" customHeight="1" x14ac:dyDescent="0.3">
      <c r="A200" s="342">
        <f>'Unit Data from Audit Worksheet'!A239</f>
        <v>519</v>
      </c>
      <c r="B200" s="356" t="str">
        <f>'Unit Data from Audit Worksheet'!C239</f>
        <v>WS Capital Assets Schedule-Annual Depreciation</v>
      </c>
      <c r="C200" s="341" t="str">
        <f>'Unit Data from Audit Worksheet'!D239</f>
        <v>Buildings annual depreciation</v>
      </c>
      <c r="D200" s="361"/>
      <c r="E200" s="362">
        <f>'Unit Data from Audit Worksheet'!F239</f>
        <v>0</v>
      </c>
      <c r="F200" s="87"/>
      <c r="G200" s="357"/>
      <c r="H200" s="354">
        <f>'Unit Data from Audit Worksheet'!I239</f>
        <v>0</v>
      </c>
      <c r="I200" s="38"/>
      <c r="J200" s="353">
        <v>519</v>
      </c>
      <c r="K200" s="629" t="s">
        <v>281</v>
      </c>
      <c r="L200" s="601">
        <f t="shared" si="20"/>
        <v>0</v>
      </c>
      <c r="P200" s="324"/>
      <c r="W200" s="3" t="b">
        <f t="shared" si="23"/>
        <v>1</v>
      </c>
      <c r="X200" s="598">
        <f t="shared" si="21"/>
        <v>0</v>
      </c>
      <c r="Y200" s="598">
        <f t="shared" si="22"/>
        <v>0</v>
      </c>
    </row>
    <row r="201" spans="1:25" ht="52.5" customHeight="1" x14ac:dyDescent="0.3">
      <c r="A201" s="342">
        <f>'Unit Data from Audit Worksheet'!A240</f>
        <v>520</v>
      </c>
      <c r="B201" s="356" t="str">
        <f>'Unit Data from Audit Worksheet'!C240</f>
        <v>WS Capital Assets Schedule-Annual Depreciation</v>
      </c>
      <c r="C201" s="341" t="str">
        <f>'Unit Data from Audit Worksheet'!D240</f>
        <v>Plant / distributions systems / water lines annual depreciation</v>
      </c>
      <c r="D201" s="361"/>
      <c r="E201" s="362">
        <f>'Unit Data from Audit Worksheet'!F240</f>
        <v>0</v>
      </c>
      <c r="F201" s="87"/>
      <c r="G201" s="357"/>
      <c r="H201" s="354">
        <f>'Unit Data from Audit Worksheet'!I240</f>
        <v>0</v>
      </c>
      <c r="I201" s="38"/>
      <c r="J201" s="353">
        <v>520</v>
      </c>
      <c r="K201" s="629" t="s">
        <v>282</v>
      </c>
      <c r="L201" s="601">
        <f t="shared" si="20"/>
        <v>0</v>
      </c>
      <c r="P201" s="324"/>
      <c r="W201" s="3" t="b">
        <f t="shared" si="23"/>
        <v>1</v>
      </c>
      <c r="X201" s="598">
        <f t="shared" si="21"/>
        <v>0</v>
      </c>
      <c r="Y201" s="598">
        <f t="shared" si="22"/>
        <v>0</v>
      </c>
    </row>
    <row r="202" spans="1:25" ht="52.5" customHeight="1" x14ac:dyDescent="0.3">
      <c r="A202" s="342">
        <f>'Unit Data from Audit Worksheet'!A241</f>
        <v>521</v>
      </c>
      <c r="B202" s="356" t="str">
        <f>'Unit Data from Audit Worksheet'!C241</f>
        <v>WS Capital Assets Schedule-Annual Depreciation</v>
      </c>
      <c r="C202" s="341" t="str">
        <f>'Unit Data from Audit Worksheet'!D241</f>
        <v>Infrastructure(other infrastructure) annual depreciation</v>
      </c>
      <c r="D202" s="361"/>
      <c r="E202" s="362">
        <f>'Unit Data from Audit Worksheet'!F241</f>
        <v>0</v>
      </c>
      <c r="F202" s="87"/>
      <c r="G202" s="357"/>
      <c r="H202" s="354">
        <f>'Unit Data from Audit Worksheet'!I241</f>
        <v>0</v>
      </c>
      <c r="I202" s="38"/>
      <c r="J202" s="353">
        <v>521</v>
      </c>
      <c r="K202" s="58" t="s">
        <v>283</v>
      </c>
      <c r="L202" s="601">
        <f t="shared" si="20"/>
        <v>0</v>
      </c>
      <c r="P202" s="324"/>
      <c r="W202" s="3" t="b">
        <f t="shared" si="23"/>
        <v>1</v>
      </c>
      <c r="X202" s="598">
        <f t="shared" si="21"/>
        <v>0</v>
      </c>
      <c r="Y202" s="598">
        <f t="shared" si="22"/>
        <v>0</v>
      </c>
    </row>
    <row r="203" spans="1:25" ht="42.75" customHeight="1" x14ac:dyDescent="0.3">
      <c r="A203" s="342">
        <f>'Unit Data from Audit Worksheet'!A242</f>
        <v>522</v>
      </c>
      <c r="B203" s="356" t="str">
        <f>'Unit Data from Audit Worksheet'!C242</f>
        <v>WS Capital Assets Schedule-Annual Depreciation</v>
      </c>
      <c r="C203" s="341" t="str">
        <f>'Unit Data from Audit Worksheet'!D242</f>
        <v>All other depreciable capital assets annual depreciation</v>
      </c>
      <c r="D203" s="361"/>
      <c r="E203" s="362">
        <f>'Unit Data from Audit Worksheet'!F242</f>
        <v>0</v>
      </c>
      <c r="F203" s="87"/>
      <c r="G203" s="357"/>
      <c r="H203" s="354">
        <f>'Unit Data from Audit Worksheet'!I242</f>
        <v>0</v>
      </c>
      <c r="I203" s="38"/>
      <c r="J203" s="353">
        <v>522</v>
      </c>
      <c r="K203" s="58" t="s">
        <v>284</v>
      </c>
      <c r="L203" s="601">
        <f t="shared" si="20"/>
        <v>0</v>
      </c>
      <c r="P203" s="324"/>
      <c r="W203" s="3" t="b">
        <f t="shared" si="23"/>
        <v>1</v>
      </c>
      <c r="X203" s="598">
        <f t="shared" si="21"/>
        <v>0</v>
      </c>
      <c r="Y203" s="598">
        <f t="shared" si="22"/>
        <v>0</v>
      </c>
    </row>
    <row r="204" spans="1:25" ht="42.75" customHeight="1" x14ac:dyDescent="0.3">
      <c r="A204" s="342">
        <f>'Unit Data from Audit Worksheet'!A245</f>
        <v>523</v>
      </c>
      <c r="B204" s="356" t="str">
        <f>'Unit Data from Audit Worksheet'!C245</f>
        <v>WS Capital Assets Schedule-Accumulated Depreciation</v>
      </c>
      <c r="C204" s="341" t="str">
        <f>'Unit Data from Audit Worksheet'!D245</f>
        <v>Building accumulated depreciation</v>
      </c>
      <c r="D204" s="361"/>
      <c r="E204" s="362">
        <f>'Unit Data from Audit Worksheet'!F245</f>
        <v>0</v>
      </c>
      <c r="F204" s="87"/>
      <c r="G204" s="357"/>
      <c r="H204" s="354">
        <f>'Unit Data from Audit Worksheet'!I245</f>
        <v>0</v>
      </c>
      <c r="I204" s="38"/>
      <c r="J204" s="353">
        <v>523</v>
      </c>
      <c r="K204" s="58" t="s">
        <v>285</v>
      </c>
      <c r="L204" s="601">
        <f t="shared" si="20"/>
        <v>0</v>
      </c>
      <c r="P204" s="324"/>
      <c r="W204" s="3" t="b">
        <f t="shared" si="23"/>
        <v>1</v>
      </c>
      <c r="X204" s="598">
        <f t="shared" si="21"/>
        <v>0</v>
      </c>
      <c r="Y204" s="598">
        <f t="shared" si="22"/>
        <v>0</v>
      </c>
    </row>
    <row r="205" spans="1:25" ht="51" customHeight="1" x14ac:dyDescent="0.3">
      <c r="A205" s="342">
        <f>'Unit Data from Audit Worksheet'!A246</f>
        <v>524</v>
      </c>
      <c r="B205" s="356" t="str">
        <f>'Unit Data from Audit Worksheet'!C246</f>
        <v>WS Capital Assets Schedule-Accumulated Depreciation</v>
      </c>
      <c r="C205" s="341" t="str">
        <f>'Unit Data from Audit Worksheet'!D246</f>
        <v>Plant / distributions systems / water lines accumulated depreciation</v>
      </c>
      <c r="D205" s="361"/>
      <c r="E205" s="362">
        <f>'Unit Data from Audit Worksheet'!F246</f>
        <v>0</v>
      </c>
      <c r="F205" s="87"/>
      <c r="G205" s="357"/>
      <c r="H205" s="354">
        <f>'Unit Data from Audit Worksheet'!I246</f>
        <v>0</v>
      </c>
      <c r="I205" s="38"/>
      <c r="J205" s="353">
        <v>524</v>
      </c>
      <c r="K205" s="58" t="s">
        <v>286</v>
      </c>
      <c r="L205" s="601">
        <f t="shared" si="20"/>
        <v>0</v>
      </c>
      <c r="P205" s="324"/>
      <c r="W205" s="3" t="b">
        <f t="shared" si="23"/>
        <v>1</v>
      </c>
      <c r="X205" s="598">
        <f t="shared" si="21"/>
        <v>0</v>
      </c>
      <c r="Y205" s="598">
        <f t="shared" si="22"/>
        <v>0</v>
      </c>
    </row>
    <row r="206" spans="1:25" ht="57.75" customHeight="1" x14ac:dyDescent="0.3">
      <c r="A206" s="342">
        <f>'Unit Data from Audit Worksheet'!A247</f>
        <v>525</v>
      </c>
      <c r="B206" s="356" t="str">
        <f>'Unit Data from Audit Worksheet'!C247</f>
        <v>WS Capital Assets Schedule-Accumulated Depreciation</v>
      </c>
      <c r="C206" s="341" t="str">
        <f>'Unit Data from Audit Worksheet'!D247</f>
        <v>Infrastructure(other infrastructure) accumulated depreciation</v>
      </c>
      <c r="D206" s="361"/>
      <c r="E206" s="362">
        <f>'Unit Data from Audit Worksheet'!F247</f>
        <v>0</v>
      </c>
      <c r="F206" s="87"/>
      <c r="G206" s="357"/>
      <c r="H206" s="354">
        <f>'Unit Data from Audit Worksheet'!I247</f>
        <v>0</v>
      </c>
      <c r="I206" s="38"/>
      <c r="J206" s="353">
        <v>525</v>
      </c>
      <c r="K206" s="58" t="s">
        <v>287</v>
      </c>
      <c r="L206" s="601">
        <f t="shared" si="20"/>
        <v>0</v>
      </c>
      <c r="P206" s="324"/>
      <c r="W206" s="3" t="b">
        <f t="shared" si="23"/>
        <v>1</v>
      </c>
      <c r="X206" s="598">
        <f t="shared" si="21"/>
        <v>0</v>
      </c>
      <c r="Y206" s="598">
        <f t="shared" si="22"/>
        <v>0</v>
      </c>
    </row>
    <row r="207" spans="1:25" ht="48" customHeight="1" x14ac:dyDescent="0.3">
      <c r="A207" s="342">
        <f>'Unit Data from Audit Worksheet'!A248</f>
        <v>526</v>
      </c>
      <c r="B207" s="356" t="str">
        <f>'Unit Data from Audit Worksheet'!C248</f>
        <v>WS Capital Assets Schedule-Accumulated Depreciation</v>
      </c>
      <c r="C207" s="341" t="str">
        <f>'Unit Data from Audit Worksheet'!D248</f>
        <v>All other depreciable capital assets accumulated depreciation</v>
      </c>
      <c r="D207" s="361"/>
      <c r="E207" s="362">
        <f>'Unit Data from Audit Worksheet'!F248</f>
        <v>0</v>
      </c>
      <c r="F207" s="87"/>
      <c r="G207" s="357"/>
      <c r="H207" s="354">
        <f>'Unit Data from Audit Worksheet'!I248</f>
        <v>0</v>
      </c>
      <c r="I207" s="38"/>
      <c r="J207" s="353">
        <v>526</v>
      </c>
      <c r="K207" s="58" t="s">
        <v>288</v>
      </c>
      <c r="L207" s="601">
        <f t="shared" si="20"/>
        <v>0</v>
      </c>
      <c r="P207" s="324"/>
      <c r="W207" s="3" t="b">
        <f t="shared" si="23"/>
        <v>1</v>
      </c>
      <c r="X207" s="598">
        <f t="shared" si="21"/>
        <v>0</v>
      </c>
      <c r="Y207" s="598">
        <f t="shared" si="22"/>
        <v>0</v>
      </c>
    </row>
    <row r="208" spans="1:25" ht="50.25" customHeight="1" x14ac:dyDescent="0.3">
      <c r="A208" s="342">
        <f>'Unit Data from Audit Worksheet'!A253</f>
        <v>527</v>
      </c>
      <c r="B208" s="356" t="str">
        <f>'Unit Data from Audit Worksheet'!C253</f>
        <v>Electric Assets</v>
      </c>
      <c r="C208" s="341" t="str">
        <f>'Unit Data from Audit Worksheet'!D253</f>
        <v>Total Assets Gross value not being depreciated for Electric Fund</v>
      </c>
      <c r="D208" s="361"/>
      <c r="E208" s="362">
        <f>'Unit Data from Audit Worksheet'!F253</f>
        <v>0</v>
      </c>
      <c r="F208" s="87"/>
      <c r="G208" s="357"/>
      <c r="H208" s="354">
        <f>'Unit Data from Audit Worksheet'!I253</f>
        <v>0</v>
      </c>
      <c r="I208" s="38"/>
      <c r="J208" s="353">
        <v>527</v>
      </c>
      <c r="K208" s="58" t="s">
        <v>289</v>
      </c>
      <c r="L208" s="601">
        <f t="shared" si="20"/>
        <v>0</v>
      </c>
      <c r="P208" s="324"/>
      <c r="W208" s="3" t="b">
        <f t="shared" si="23"/>
        <v>1</v>
      </c>
      <c r="X208" s="598">
        <f t="shared" si="21"/>
        <v>0</v>
      </c>
      <c r="Y208" s="598">
        <f t="shared" si="22"/>
        <v>0</v>
      </c>
    </row>
    <row r="209" spans="1:27" ht="54.75" customHeight="1" x14ac:dyDescent="0.3">
      <c r="A209" s="342">
        <f>'Unit Data from Audit Worksheet'!A254</f>
        <v>356</v>
      </c>
      <c r="B209" s="356" t="str">
        <f>'Unit Data from Audit Worksheet'!C254</f>
        <v>Electric Assets</v>
      </c>
      <c r="C209" s="341" t="str">
        <f>'Unit Data from Audit Worksheet'!D254</f>
        <v>Total Assets Gross value of assets being depreciated for Electric Fund</v>
      </c>
      <c r="D209" s="361"/>
      <c r="E209" s="362">
        <f>'Unit Data from Audit Worksheet'!F254</f>
        <v>0</v>
      </c>
      <c r="F209" s="87"/>
      <c r="G209" s="357"/>
      <c r="H209" s="354">
        <f>'Unit Data from Audit Worksheet'!I254</f>
        <v>0</v>
      </c>
      <c r="I209" s="38"/>
      <c r="J209" s="353">
        <v>356</v>
      </c>
      <c r="K209" s="58" t="s">
        <v>552</v>
      </c>
      <c r="L209" s="601">
        <f t="shared" si="20"/>
        <v>0</v>
      </c>
      <c r="P209" s="324"/>
      <c r="W209" s="3" t="b">
        <f t="shared" si="23"/>
        <v>1</v>
      </c>
      <c r="X209" s="598">
        <f t="shared" si="21"/>
        <v>0</v>
      </c>
      <c r="Y209" s="598">
        <f t="shared" si="22"/>
        <v>0</v>
      </c>
    </row>
    <row r="210" spans="1:27" ht="54.75" customHeight="1" x14ac:dyDescent="0.3">
      <c r="A210" s="342">
        <f>'Unit Data from Audit Worksheet'!A255</f>
        <v>357</v>
      </c>
      <c r="B210" s="356" t="str">
        <f>'Unit Data from Audit Worksheet'!C255</f>
        <v>Electric Accumulated Depreciation</v>
      </c>
      <c r="C210" s="341" t="str">
        <f>'Unit Data from Audit Worksheet'!D255</f>
        <v>Total accumulated depreciation for Electric Fund assets</v>
      </c>
      <c r="D210" s="361"/>
      <c r="E210" s="362">
        <f>'Unit Data from Audit Worksheet'!F255</f>
        <v>0</v>
      </c>
      <c r="F210" s="87"/>
      <c r="G210" s="357"/>
      <c r="H210" s="354">
        <f>'Unit Data from Audit Worksheet'!I255</f>
        <v>0</v>
      </c>
      <c r="I210" s="38"/>
      <c r="J210" s="353">
        <v>357</v>
      </c>
      <c r="K210" s="58" t="s">
        <v>553</v>
      </c>
      <c r="L210" s="601">
        <f t="shared" si="20"/>
        <v>0</v>
      </c>
      <c r="P210" s="324"/>
      <c r="W210" s="3" t="b">
        <f t="shared" si="23"/>
        <v>1</v>
      </c>
      <c r="X210" s="598">
        <f t="shared" si="21"/>
        <v>0</v>
      </c>
      <c r="Y210" s="598">
        <f t="shared" si="22"/>
        <v>0</v>
      </c>
    </row>
    <row r="211" spans="1:27" ht="191.25" customHeight="1" x14ac:dyDescent="0.3">
      <c r="A211" s="342">
        <f>'Unit Data from Audit Worksheet'!A257</f>
        <v>337</v>
      </c>
      <c r="B211" s="356" t="str">
        <f>'Unit Data from Audit Worksheet'!C257</f>
        <v>Long-Term Liability Note - Governmental Activities</v>
      </c>
      <c r="C211" s="356"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61"/>
      <c r="E211" s="362">
        <f>'Unit Data from Audit Worksheet'!F257</f>
        <v>0</v>
      </c>
      <c r="F211" s="355">
        <f>IF(L211&lt;0,"Error: Enter as a positive.",)</f>
        <v>0</v>
      </c>
      <c r="G211" s="357"/>
      <c r="H211" s="354">
        <f>'Unit Data from Audit Worksheet'!I257</f>
        <v>0</v>
      </c>
      <c r="I211" s="38"/>
      <c r="J211" s="353">
        <v>337</v>
      </c>
      <c r="K211" s="352" t="s">
        <v>254</v>
      </c>
      <c r="L211" s="601">
        <f t="shared" si="20"/>
        <v>0</v>
      </c>
      <c r="P211" s="324"/>
      <c r="W211" s="3" t="b">
        <f t="shared" si="23"/>
        <v>1</v>
      </c>
      <c r="X211" s="598">
        <f t="shared" si="21"/>
        <v>0</v>
      </c>
      <c r="Y211" s="598">
        <f t="shared" si="22"/>
        <v>0</v>
      </c>
    </row>
    <row r="212" spans="1:27" ht="76.5" customHeight="1" x14ac:dyDescent="0.3">
      <c r="A212" s="342">
        <f>'Unit Data from Audit Worksheet'!A258</f>
        <v>343</v>
      </c>
      <c r="B212" s="356" t="str">
        <f>'Unit Data from Audit Worksheet'!C258</f>
        <v>Long-Term Liability Note - Governmental Activities</v>
      </c>
      <c r="C212" s="341" t="str">
        <f>'Unit Data from Audit Worksheet'!D258</f>
        <v>Decreases made (principal paid) on Long-Term Debt in current fiscal year.  Reduce for debt refunding.</v>
      </c>
      <c r="D212" s="361"/>
      <c r="E212" s="362">
        <f>'Unit Data from Audit Worksheet'!F258</f>
        <v>0</v>
      </c>
      <c r="F212" s="355">
        <f>IF(L212&lt;0,"Error: Enter as a positive.",)</f>
        <v>0</v>
      </c>
      <c r="G212" s="357"/>
      <c r="H212" s="354">
        <f>'Unit Data from Audit Worksheet'!I258</f>
        <v>0</v>
      </c>
      <c r="I212" s="38"/>
      <c r="J212" s="353">
        <v>343</v>
      </c>
      <c r="K212" s="352" t="s">
        <v>255</v>
      </c>
      <c r="L212" s="601">
        <f t="shared" si="20"/>
        <v>0</v>
      </c>
      <c r="P212" s="324"/>
      <c r="W212" s="3" t="b">
        <f t="shared" si="23"/>
        <v>1</v>
      </c>
      <c r="X212" s="598">
        <f t="shared" si="21"/>
        <v>0</v>
      </c>
      <c r="Y212" s="598">
        <f t="shared" si="22"/>
        <v>0</v>
      </c>
    </row>
    <row r="213" spans="1:27" ht="193.5" customHeight="1" x14ac:dyDescent="0.3">
      <c r="A213" s="342">
        <f>'Unit Data from Audit Worksheet'!A259</f>
        <v>82</v>
      </c>
      <c r="B213" s="356" t="str">
        <f>'Unit Data from Audit Worksheet'!C259</f>
        <v>Long-Term Liability Note - Water Sewer Activities</v>
      </c>
      <c r="C213" s="356"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61"/>
      <c r="E213" s="362">
        <f>'Unit Data from Audit Worksheet'!F259</f>
        <v>0</v>
      </c>
      <c r="F213" s="355">
        <f>IF(L213&lt;0,"Error: Enter as a positive.",)</f>
        <v>0</v>
      </c>
      <c r="G213" s="357"/>
      <c r="H213" s="354">
        <f>'Unit Data from Audit Worksheet'!I259</f>
        <v>0</v>
      </c>
      <c r="I213" s="38"/>
      <c r="J213" s="353">
        <v>82</v>
      </c>
      <c r="K213" s="69" t="s">
        <v>554</v>
      </c>
      <c r="L213" s="601">
        <f t="shared" si="20"/>
        <v>0</v>
      </c>
      <c r="P213" s="324"/>
      <c r="W213" s="3" t="b">
        <f t="shared" si="23"/>
        <v>1</v>
      </c>
      <c r="X213" s="598">
        <f t="shared" si="21"/>
        <v>0</v>
      </c>
      <c r="Y213" s="598">
        <f t="shared" si="22"/>
        <v>0</v>
      </c>
    </row>
    <row r="214" spans="1:27" ht="206.25" customHeight="1" x14ac:dyDescent="0.3">
      <c r="A214" s="342">
        <f>'Unit Data from Audit Worksheet'!A260</f>
        <v>359</v>
      </c>
      <c r="B214" s="356" t="str">
        <f>'Unit Data from Audit Worksheet'!C260</f>
        <v>Long-Term Liability Note - Electric Activities</v>
      </c>
      <c r="C214" s="356"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61"/>
      <c r="E214" s="362">
        <f>'Unit Data from Audit Worksheet'!F260</f>
        <v>0</v>
      </c>
      <c r="F214" s="355">
        <f>IF(L214&lt;0,"Error: Enter as a positive.",)</f>
        <v>0</v>
      </c>
      <c r="G214" s="357"/>
      <c r="H214" s="354">
        <f>'Unit Data from Audit Worksheet'!I260</f>
        <v>0</v>
      </c>
      <c r="I214" s="38"/>
      <c r="J214" s="353">
        <v>359</v>
      </c>
      <c r="K214" s="352" t="s">
        <v>256</v>
      </c>
      <c r="L214" s="601">
        <f t="shared" si="20"/>
        <v>0</v>
      </c>
      <c r="P214" s="324"/>
      <c r="W214" s="3" t="b">
        <f t="shared" si="23"/>
        <v>1</v>
      </c>
      <c r="X214" s="598">
        <f t="shared" si="21"/>
        <v>0</v>
      </c>
      <c r="Y214" s="598">
        <f t="shared" si="22"/>
        <v>0</v>
      </c>
    </row>
    <row r="215" spans="1:27" ht="76.5" customHeight="1" x14ac:dyDescent="0.3">
      <c r="A215" s="342">
        <f>'Unit Data from Audit Worksheet'!A262</f>
        <v>622</v>
      </c>
      <c r="B215" s="356" t="str">
        <f>'Unit Data from Audit Worksheet'!C262</f>
        <v>FS., Pension note or RSI</v>
      </c>
      <c r="C215" s="356"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61"/>
      <c r="E215" s="362">
        <f>'Unit Data from Audit Worksheet'!F262</f>
        <v>0</v>
      </c>
      <c r="F215" s="355"/>
      <c r="G215" s="357"/>
      <c r="H215" s="354"/>
      <c r="I215" s="38"/>
      <c r="J215" s="353">
        <v>622</v>
      </c>
      <c r="K215" s="359" t="s">
        <v>724</v>
      </c>
      <c r="L215" s="601">
        <f t="shared" si="20"/>
        <v>0</v>
      </c>
      <c r="P215" s="324"/>
      <c r="W215" s="3" t="b">
        <f t="shared" si="23"/>
        <v>1</v>
      </c>
      <c r="X215" s="598">
        <f t="shared" si="21"/>
        <v>0</v>
      </c>
      <c r="Y215" s="598">
        <f t="shared" si="22"/>
        <v>0</v>
      </c>
    </row>
    <row r="216" spans="1:27" ht="138.75" customHeight="1" x14ac:dyDescent="0.3">
      <c r="A216" s="342">
        <f>'Unit Data from Audit Worksheet'!A263</f>
        <v>577</v>
      </c>
      <c r="B216" s="356" t="str">
        <f>'Unit Data from Audit Worksheet'!C263</f>
        <v>Pension Notes</v>
      </c>
      <c r="C216" s="356"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61"/>
      <c r="E216" s="362" t="str">
        <f>IF('Unit Data from Audit Worksheet'!F263="Yes",1,IF('Unit Data from Audit Worksheet'!F263="No",2,IF('Unit Data from Audit Worksheet'!F263&lt;1,"",IF('Unit Data from Audit Worksheet'!F263=0&gt;2,""))))</f>
        <v/>
      </c>
      <c r="F216" s="355"/>
      <c r="G216" s="357"/>
      <c r="H216" s="354"/>
      <c r="I216" s="38"/>
      <c r="J216" s="353">
        <v>577</v>
      </c>
      <c r="K216" s="359" t="s">
        <v>612</v>
      </c>
      <c r="L216" s="601" t="str">
        <f t="shared" si="20"/>
        <v/>
      </c>
      <c r="P216" s="324"/>
      <c r="W216" s="3" t="b">
        <f t="shared" si="23"/>
        <v>1</v>
      </c>
      <c r="X216" s="598" t="e">
        <f t="shared" si="21"/>
        <v>#VALUE!</v>
      </c>
      <c r="Y216" s="598" t="e">
        <f t="shared" si="22"/>
        <v>#VALUE!</v>
      </c>
    </row>
    <row r="217" spans="1:27" ht="115.5" customHeight="1" x14ac:dyDescent="0.3">
      <c r="A217" s="630">
        <f>'Unit Data from Audit Worksheet'!A265</f>
        <v>598</v>
      </c>
      <c r="B217" s="356" t="str">
        <f>'Unit Data from Audit Worksheet'!C265</f>
        <v>LEO Note</v>
      </c>
      <c r="C217" s="341" t="str">
        <f>'Unit Data from Audit Worksheet'!D265</f>
        <v>Amount the unit paid out in benefits under LEO special separation allowance to retired law enforcement officers this fiscal year if you report under GASB 68 or GASB 73.</v>
      </c>
      <c r="D217" s="361"/>
      <c r="E217" s="362">
        <f>'Unit Data from Audit Worksheet'!F265</f>
        <v>0</v>
      </c>
      <c r="F217" s="355">
        <f>IF(L217&lt;0,"Error: Enter as a positive.",)</f>
        <v>0</v>
      </c>
      <c r="G217" s="357"/>
      <c r="H217" s="354">
        <f>'Unit Data from Audit Worksheet'!I265</f>
        <v>0</v>
      </c>
      <c r="I217" s="38"/>
      <c r="J217" s="353">
        <v>598</v>
      </c>
      <c r="K217" s="94" t="s">
        <v>681</v>
      </c>
      <c r="L217" s="601">
        <f t="shared" si="20"/>
        <v>0</v>
      </c>
      <c r="P217" s="324"/>
      <c r="W217" s="3" t="b">
        <f t="shared" si="23"/>
        <v>1</v>
      </c>
      <c r="X217" s="598">
        <f t="shared" si="21"/>
        <v>0</v>
      </c>
      <c r="Y217" s="598">
        <f t="shared" si="22"/>
        <v>0</v>
      </c>
    </row>
    <row r="218" spans="1:27" ht="84" customHeight="1" x14ac:dyDescent="0.3">
      <c r="A218" s="342">
        <f>'Unit Data from Audit Worksheet'!A266</f>
        <v>599</v>
      </c>
      <c r="B218" s="356" t="str">
        <f>'Unit Data from Audit Worksheet'!C266</f>
        <v>LEO Note</v>
      </c>
      <c r="C218" s="341" t="str">
        <f>'Unit Data from Audit Worksheet'!D266</f>
        <v>The total LEO pension liability if you report under GASB 68 or GASB 73.</v>
      </c>
      <c r="D218" s="361"/>
      <c r="E218" s="362">
        <f>'Unit Data from Audit Worksheet'!F266</f>
        <v>0</v>
      </c>
      <c r="F218" s="355">
        <f>IF(L218&lt;0,"Error: Enter as a positive.",)</f>
        <v>0</v>
      </c>
      <c r="G218" s="357"/>
      <c r="H218" s="354">
        <f>'Unit Data from Audit Worksheet'!I266</f>
        <v>0</v>
      </c>
      <c r="I218" s="38"/>
      <c r="J218" s="353">
        <v>599</v>
      </c>
      <c r="K218" s="93" t="s">
        <v>680</v>
      </c>
      <c r="L218" s="601">
        <f t="shared" si="20"/>
        <v>0</v>
      </c>
      <c r="M218" s="631"/>
      <c r="P218" s="324"/>
      <c r="W218" s="3" t="b">
        <f t="shared" si="23"/>
        <v>1</v>
      </c>
      <c r="X218" s="598">
        <f t="shared" si="21"/>
        <v>0</v>
      </c>
      <c r="Y218" s="598">
        <f t="shared" si="22"/>
        <v>0</v>
      </c>
    </row>
    <row r="219" spans="1:27" ht="102.75" customHeight="1" x14ac:dyDescent="0.3">
      <c r="A219" s="342">
        <f>'Unit Data from Audit Worksheet'!A267</f>
        <v>602</v>
      </c>
      <c r="B219" s="356" t="str">
        <f>'Unit Data from Audit Worksheet'!C267</f>
        <v>LEO Note</v>
      </c>
      <c r="C219" s="341" t="str">
        <f>'Unit Data from Audit Worksheet'!D267</f>
        <v>If you have LEO pension assets and are reporting under GASB 68 please enter "Plan Fiduciary Net Position" which can be found on your RSI schedules and the Notes.</v>
      </c>
      <c r="D219" s="361"/>
      <c r="E219" s="362">
        <f>'Unit Data from Audit Worksheet'!F267</f>
        <v>0</v>
      </c>
      <c r="F219" s="355">
        <f>IF(L219&lt;0,"Error: Enter as a positive.",)</f>
        <v>0</v>
      </c>
      <c r="G219" s="357"/>
      <c r="H219" s="354">
        <f>'Unit Data from Audit Worksheet'!I267</f>
        <v>0</v>
      </c>
      <c r="I219" s="38"/>
      <c r="J219" s="353">
        <v>602</v>
      </c>
      <c r="K219" s="26" t="s">
        <v>682</v>
      </c>
      <c r="L219" s="601">
        <f t="shared" si="20"/>
        <v>0</v>
      </c>
      <c r="M219" s="631"/>
      <c r="P219" s="324"/>
      <c r="W219" s="3" t="b">
        <f t="shared" si="23"/>
        <v>1</v>
      </c>
      <c r="X219" s="598">
        <f t="shared" si="21"/>
        <v>0</v>
      </c>
      <c r="Y219" s="598">
        <f t="shared" si="22"/>
        <v>0</v>
      </c>
    </row>
    <row r="220" spans="1:27" ht="123" customHeight="1" x14ac:dyDescent="0.3">
      <c r="A220" s="342">
        <f>'Unit Data from Audit Worksheet'!A268</f>
        <v>619</v>
      </c>
      <c r="B220" s="356"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49">
        <f>'Unit Data from Audit Worksheet'!F268</f>
        <v>0</v>
      </c>
      <c r="F220" s="355" t="str">
        <f>IF(H220=L220,"","Column L does not equal Column H")</f>
        <v/>
      </c>
      <c r="G220" s="357"/>
      <c r="H220" s="102">
        <f>ROUND(IFERROR((L219/L218)*100,0),1)</f>
        <v>0</v>
      </c>
      <c r="I220" s="38"/>
      <c r="J220" s="344">
        <v>619</v>
      </c>
      <c r="K220" s="101" t="s">
        <v>939</v>
      </c>
      <c r="L220" s="939">
        <f t="shared" si="20"/>
        <v>0</v>
      </c>
      <c r="M220" s="631"/>
      <c r="P220" s="632"/>
      <c r="Q220" s="633">
        <f>IF(H220=L220,0,1)</f>
        <v>0</v>
      </c>
      <c r="W220" s="3" t="b">
        <f t="shared" si="23"/>
        <v>1</v>
      </c>
      <c r="X220" s="598">
        <f t="shared" si="21"/>
        <v>0</v>
      </c>
      <c r="Y220" s="598">
        <f t="shared" si="22"/>
        <v>0</v>
      </c>
    </row>
    <row r="221" spans="1:27" ht="113.25" customHeight="1" x14ac:dyDescent="0.3">
      <c r="A221" s="342">
        <v>621</v>
      </c>
      <c r="B221" s="57" t="s">
        <v>714</v>
      </c>
      <c r="C221" s="634" t="str">
        <f>'Unit Data from Audit Worksheet'!D270</f>
        <v xml:space="preserve">Unit's share of Retirement Health Benefit Fund Net OPEB Liability ($s)
- unit of government is a participating employer in the State's RHBF </v>
      </c>
      <c r="D221" s="95"/>
      <c r="E221" s="362">
        <f>'Unit Data from Audit Worksheet'!F270</f>
        <v>0</v>
      </c>
      <c r="F221" s="355">
        <f>IF(L221&lt;0,"Error: Enter as a positive.",)</f>
        <v>0</v>
      </c>
      <c r="G221" s="127"/>
      <c r="H221" s="354"/>
      <c r="I221" s="38"/>
      <c r="J221" s="635">
        <v>621</v>
      </c>
      <c r="K221" s="128" t="s">
        <v>944</v>
      </c>
      <c r="L221" s="601">
        <f t="shared" si="20"/>
        <v>0</v>
      </c>
      <c r="M221" s="631"/>
      <c r="P221" s="635"/>
      <c r="Q221" s="304"/>
      <c r="W221" s="3" t="b">
        <f t="shared" si="23"/>
        <v>1</v>
      </c>
      <c r="X221" s="598">
        <f t="shared" si="21"/>
        <v>0</v>
      </c>
      <c r="Y221" s="598">
        <f t="shared" si="22"/>
        <v>0</v>
      </c>
    </row>
    <row r="222" spans="1:27" s="18" customFormat="1" ht="127.5" customHeight="1" x14ac:dyDescent="0.3">
      <c r="A222" s="630">
        <f>'Unit Data from Audit Worksheet'!A271</f>
        <v>547</v>
      </c>
      <c r="B222" s="356" t="str">
        <f>'Unit Data from Audit Worksheet'!C271</f>
        <v>OPEB Note</v>
      </c>
      <c r="C222" s="356"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61"/>
      <c r="E222" s="362">
        <f>'Unit Data from Audit Worksheet'!F271</f>
        <v>0</v>
      </c>
      <c r="F222" s="355" t="str">
        <f>IF(L225&lt;1,"Please answer this question","")</f>
        <v>Please answer this question</v>
      </c>
      <c r="G222" s="357"/>
      <c r="H222" s="354">
        <f>'Unit Data from Audit Worksheet'!I271</f>
        <v>0</v>
      </c>
      <c r="I222" s="38"/>
      <c r="J222" s="353">
        <v>547</v>
      </c>
      <c r="K222" s="636" t="s">
        <v>541</v>
      </c>
      <c r="L222" s="601">
        <f t="shared" si="20"/>
        <v>0</v>
      </c>
      <c r="M222" s="622"/>
      <c r="P222" s="324"/>
      <c r="Q222" s="591"/>
      <c r="R222" s="3"/>
      <c r="W222" s="3" t="b">
        <f t="shared" si="23"/>
        <v>1</v>
      </c>
      <c r="X222" s="598">
        <f t="shared" si="21"/>
        <v>0</v>
      </c>
      <c r="Y222" s="598">
        <f t="shared" si="22"/>
        <v>0</v>
      </c>
      <c r="AA222" s="3"/>
    </row>
    <row r="223" spans="1:27" s="18" customFormat="1" ht="99" customHeight="1" x14ac:dyDescent="0.3">
      <c r="A223" s="342">
        <f>'Unit Data from Audit Worksheet'!A272</f>
        <v>659</v>
      </c>
      <c r="B223" s="356" t="str">
        <f>'Unit Data from Audit Worksheet'!C272</f>
        <v>OPEB
 Note or RSI</v>
      </c>
      <c r="C223" s="341" t="str">
        <f>'Unit Data from Audit Worksheet'!D272</f>
        <v>Total OPEB benefits - total OPEB liability
If you do not provide benefit, please enter 0</v>
      </c>
      <c r="D223" s="361"/>
      <c r="E223" s="362">
        <f>'Unit Data from Audit Worksheet'!F272</f>
        <v>0</v>
      </c>
      <c r="F223" s="355">
        <f>IF(L223&lt;0,"Error: Enter as a positive.",)</f>
        <v>0</v>
      </c>
      <c r="G223" s="637" t="s">
        <v>1422</v>
      </c>
      <c r="H223" s="354">
        <f>'Unit Data from Audit Worksheet'!I272</f>
        <v>0</v>
      </c>
      <c r="I223" s="38"/>
      <c r="J223" s="344">
        <v>659</v>
      </c>
      <c r="K223" s="343" t="s">
        <v>819</v>
      </c>
      <c r="L223" s="615">
        <f t="shared" si="20"/>
        <v>0</v>
      </c>
      <c r="M223" s="622"/>
      <c r="P223" s="632"/>
      <c r="Q223" s="591"/>
      <c r="R223" s="3"/>
      <c r="W223" s="3" t="b">
        <f t="shared" si="23"/>
        <v>1</v>
      </c>
      <c r="X223" s="598">
        <f t="shared" si="21"/>
        <v>0</v>
      </c>
      <c r="Y223" s="598">
        <f t="shared" si="22"/>
        <v>0</v>
      </c>
      <c r="AA223" s="3"/>
    </row>
    <row r="224" spans="1:27" s="18" customFormat="1" ht="131.25" customHeight="1" x14ac:dyDescent="0.3">
      <c r="A224" s="342">
        <f>'Unit Data from Audit Worksheet'!A273</f>
        <v>660</v>
      </c>
      <c r="B224" s="356" t="str">
        <f>'Unit Data from Audit Worksheet'!C273</f>
        <v>OPEB
 Note or RSI</v>
      </c>
      <c r="C224" s="341" t="str">
        <f>'Unit Data from Audit Worksheet'!D273</f>
        <v>Total OPEB benefits- OPEB plan fiduciary net position
If no fiduciary net position, enter 0</v>
      </c>
      <c r="D224" s="361"/>
      <c r="E224" s="362">
        <f>'Unit Data from Audit Worksheet'!F273</f>
        <v>0</v>
      </c>
      <c r="F224" s="351">
        <f>IF(L224&lt;0,"Note: Number is normally positive.",)</f>
        <v>0</v>
      </c>
      <c r="G224" s="637" t="s">
        <v>1422</v>
      </c>
      <c r="H224" s="354">
        <f>'Unit Data from Audit Worksheet'!I273</f>
        <v>0</v>
      </c>
      <c r="I224" s="38"/>
      <c r="J224" s="344">
        <v>660</v>
      </c>
      <c r="K224" s="343" t="s">
        <v>820</v>
      </c>
      <c r="L224" s="615">
        <f t="shared" si="20"/>
        <v>0</v>
      </c>
      <c r="M224" s="622"/>
      <c r="P224" s="632"/>
      <c r="Q224" s="591"/>
      <c r="R224" s="3"/>
      <c r="W224" s="3" t="b">
        <f t="shared" si="23"/>
        <v>1</v>
      </c>
      <c r="X224" s="598">
        <f t="shared" si="21"/>
        <v>0</v>
      </c>
      <c r="Y224" s="598">
        <f t="shared" si="22"/>
        <v>0</v>
      </c>
      <c r="AA224" s="3"/>
    </row>
    <row r="225" spans="1:27" ht="134.25" customHeight="1" x14ac:dyDescent="0.3">
      <c r="A225" s="342">
        <f>'Unit Data from Audit Worksheet'!A274</f>
        <v>661</v>
      </c>
      <c r="B225" s="356" t="str">
        <f>'Unit Data from Audit Worksheet'!C274</f>
        <v>OPEB
RSI</v>
      </c>
      <c r="C225" s="341"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40">
        <f>'Unit Data from Audit Worksheet'!F274</f>
        <v>0</v>
      </c>
      <c r="F225" s="355" t="str">
        <f>IF(H225=L225,"","Column L does not equal Column H")</f>
        <v/>
      </c>
      <c r="G225" s="637" t="s">
        <v>1422</v>
      </c>
      <c r="H225" s="174">
        <f>ROUND(IFERROR((L224/L223)*100,0),1)</f>
        <v>0</v>
      </c>
      <c r="I225" s="38"/>
      <c r="J225" s="344">
        <v>661</v>
      </c>
      <c r="K225" s="359" t="s">
        <v>823</v>
      </c>
      <c r="L225" s="638">
        <f>IF(D225="",E225,D225)</f>
        <v>0</v>
      </c>
      <c r="P225" s="632"/>
      <c r="Q225" s="633">
        <f>IF(H225=L225,0,1)</f>
        <v>0</v>
      </c>
      <c r="W225" s="3" t="b">
        <f t="shared" si="23"/>
        <v>1</v>
      </c>
      <c r="X225" s="598">
        <f t="shared" si="21"/>
        <v>0</v>
      </c>
      <c r="Y225" s="598">
        <f t="shared" si="22"/>
        <v>0</v>
      </c>
    </row>
    <row r="226" spans="1:27" ht="65.25" customHeight="1" x14ac:dyDescent="0.3">
      <c r="A226" s="342">
        <f>'Unit Data from Audit Worksheet'!A277</f>
        <v>371</v>
      </c>
      <c r="B226" s="356" t="str">
        <f>'Unit Data from Audit Worksheet'!C277</f>
        <v>Transfer Note</v>
      </c>
      <c r="C226" s="341" t="str">
        <f>'Unit Data from Audit Worksheet'!D277</f>
        <v>Amount of Transfers from the General Fund to the Debt Service Fund (Enter as positive)</v>
      </c>
      <c r="D226" s="361"/>
      <c r="E226" s="362">
        <f>'Unit Data from Audit Worksheet'!F277</f>
        <v>0</v>
      </c>
      <c r="F226" s="355">
        <f>IF(L226&lt;0,"Error: Enter as a positive.",)</f>
        <v>0</v>
      </c>
      <c r="G226" s="357"/>
      <c r="H226" s="354">
        <f>'Unit Data from Audit Worksheet'!I277</f>
        <v>0</v>
      </c>
      <c r="I226" s="38"/>
      <c r="J226" s="39">
        <v>371</v>
      </c>
      <c r="K226" s="352" t="s">
        <v>262</v>
      </c>
      <c r="L226" s="601">
        <f t="shared" si="20"/>
        <v>0</v>
      </c>
      <c r="P226" s="330"/>
      <c r="Q226" s="3"/>
      <c r="W226" s="3" t="b">
        <f t="shared" si="23"/>
        <v>1</v>
      </c>
      <c r="X226" s="598">
        <f t="shared" si="21"/>
        <v>0</v>
      </c>
      <c r="Y226" s="598">
        <f t="shared" si="22"/>
        <v>0</v>
      </c>
    </row>
    <row r="227" spans="1:27" ht="63" customHeight="1" x14ac:dyDescent="0.3">
      <c r="A227" s="342">
        <f>'Unit Data from Audit Worksheet'!A278</f>
        <v>513</v>
      </c>
      <c r="B227" s="356" t="str">
        <f>'Unit Data from Audit Worksheet'!C278</f>
        <v>Transfer Note</v>
      </c>
      <c r="C227" s="341" t="str">
        <f>'Unit Data from Audit Worksheet'!D278</f>
        <v>Amount of Transfers from the General Fund to the Electric Fund  (Enter as positive)</v>
      </c>
      <c r="D227" s="361"/>
      <c r="E227" s="362">
        <f>'Unit Data from Audit Worksheet'!F278</f>
        <v>0</v>
      </c>
      <c r="F227" s="355">
        <f>IF(L227&lt;0,"Error: Enter as a positive.",)</f>
        <v>0</v>
      </c>
      <c r="G227" s="357"/>
      <c r="H227" s="354">
        <f>'Unit Data from Audit Worksheet'!I278</f>
        <v>0</v>
      </c>
      <c r="I227" s="38"/>
      <c r="J227" s="353">
        <v>513</v>
      </c>
      <c r="K227" s="352" t="s">
        <v>263</v>
      </c>
      <c r="L227" s="601">
        <f t="shared" si="20"/>
        <v>0</v>
      </c>
      <c r="P227" s="324"/>
      <c r="W227" s="3" t="b">
        <f t="shared" si="23"/>
        <v>1</v>
      </c>
      <c r="X227" s="598">
        <f t="shared" si="21"/>
        <v>0</v>
      </c>
      <c r="Y227" s="598">
        <f t="shared" si="22"/>
        <v>0</v>
      </c>
    </row>
    <row r="228" spans="1:27" ht="89.25" customHeight="1" x14ac:dyDescent="0.3">
      <c r="A228" s="342">
        <f>'Unit Data from Audit Worksheet'!A279</f>
        <v>514</v>
      </c>
      <c r="B228" s="356" t="str">
        <f>'Unit Data from Audit Worksheet'!C279</f>
        <v>Transfer Note</v>
      </c>
      <c r="C228" s="341" t="str">
        <f>'Unit Data from Audit Worksheet'!D279</f>
        <v>Amount of Transfers from the Electric Fund to the General Fund  (Enter as positive)
Include:  Payment in Lieu of Taxes (PILOT)</v>
      </c>
      <c r="D228" s="361"/>
      <c r="E228" s="362">
        <f>'Unit Data from Audit Worksheet'!F279</f>
        <v>0</v>
      </c>
      <c r="F228" s="355">
        <f>IF(L228&lt;0,"Error: Enter as a positive.",)</f>
        <v>0</v>
      </c>
      <c r="G228" s="357"/>
      <c r="H228" s="354">
        <f>'Unit Data from Audit Worksheet'!I279</f>
        <v>0</v>
      </c>
      <c r="I228" s="38"/>
      <c r="J228" s="353">
        <v>514</v>
      </c>
      <c r="K228" s="352" t="s">
        <v>264</v>
      </c>
      <c r="L228" s="601">
        <f t="shared" si="20"/>
        <v>0</v>
      </c>
      <c r="P228" s="324"/>
      <c r="W228" s="3" t="b">
        <f t="shared" si="23"/>
        <v>1</v>
      </c>
      <c r="X228" s="598">
        <f t="shared" si="21"/>
        <v>0</v>
      </c>
      <c r="Y228" s="598">
        <f t="shared" si="22"/>
        <v>0</v>
      </c>
    </row>
    <row r="229" spans="1:27" ht="89.25" customHeight="1" x14ac:dyDescent="0.3">
      <c r="A229" s="617">
        <f>'Unit Data from Audit Worksheet'!A280</f>
        <v>990</v>
      </c>
      <c r="B229" s="360" t="str">
        <f>'Unit Data from Audit Worksheet'!C280</f>
        <v>Transfer Note</v>
      </c>
      <c r="C229" s="618" t="str">
        <f>'Unit Data from Audit Worksheet'!D280</f>
        <v>Amount of transfer out to the General Fund that is for Payment in Lieu of Taxes (PILOT)</v>
      </c>
      <c r="D229" s="361"/>
      <c r="E229" s="362">
        <f>'Unit Data from Audit Worksheet'!F280</f>
        <v>0</v>
      </c>
      <c r="F229" s="355"/>
      <c r="G229" s="357"/>
      <c r="H229" s="354">
        <f>'Unit Data from Audit Worksheet'!I280</f>
        <v>0</v>
      </c>
      <c r="I229" s="38"/>
      <c r="J229" s="371">
        <v>990</v>
      </c>
      <c r="K229" s="125" t="s">
        <v>1126</v>
      </c>
      <c r="L229" s="601">
        <f t="shared" si="20"/>
        <v>0</v>
      </c>
      <c r="P229" s="324"/>
      <c r="X229" s="598"/>
      <c r="Y229" s="598"/>
    </row>
    <row r="230" spans="1:27" ht="84.75" customHeight="1" x14ac:dyDescent="0.3">
      <c r="A230" s="639">
        <f>'Unit Data from Audit Worksheet'!A282</f>
        <v>6</v>
      </c>
      <c r="B230" s="53" t="str">
        <f>'Unit Data from Audit Worksheet'!C282</f>
        <v>Fund Balance Note</v>
      </c>
      <c r="C230" s="611" t="str">
        <f>'Unit Data from Audit Worksheet'!D282</f>
        <v>General Fund -  Total Encumbrances.  You will probably have to refer to the note disclosure where the amount of encumbrances is listed.</v>
      </c>
      <c r="D230" s="361"/>
      <c r="E230" s="153">
        <f>'Unit Data from Audit Worksheet'!F282</f>
        <v>0</v>
      </c>
      <c r="F230" s="37">
        <f>IF(L230&lt;0,"Error: Enter as a positive.",)</f>
        <v>0</v>
      </c>
      <c r="G230" s="73"/>
      <c r="H230" s="354">
        <f>'Unit Data from Audit Worksheet'!I282</f>
        <v>0</v>
      </c>
      <c r="I230" s="38"/>
      <c r="J230" s="41">
        <v>6</v>
      </c>
      <c r="K230" s="132" t="s">
        <v>265</v>
      </c>
      <c r="L230" s="601">
        <f t="shared" si="20"/>
        <v>0</v>
      </c>
      <c r="P230" s="324"/>
      <c r="W230" s="3" t="b">
        <f t="shared" ref="W230:W258" si="24">EXACT(A230,J230)</f>
        <v>1</v>
      </c>
      <c r="X230" s="598">
        <f t="shared" si="21"/>
        <v>0</v>
      </c>
      <c r="Y230" s="598">
        <f t="shared" si="22"/>
        <v>0</v>
      </c>
    </row>
    <row r="231" spans="1:27" ht="117.75" customHeight="1" x14ac:dyDescent="0.3">
      <c r="A231" s="342">
        <f>'Unit Data from Audit Worksheet'!A284</f>
        <v>541</v>
      </c>
      <c r="B231" s="356" t="str">
        <f>'Unit Data from Audit Worksheet'!C284</f>
        <v>Water Sewer - Budget Actual Statement</v>
      </c>
      <c r="C231" s="356"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61"/>
      <c r="E231" s="362">
        <f>'Unit Data from Audit Worksheet'!F284</f>
        <v>0</v>
      </c>
      <c r="F231" s="355"/>
      <c r="G231" s="357"/>
      <c r="H231" s="354">
        <f>'Unit Data from Audit Worksheet'!I284</f>
        <v>0</v>
      </c>
      <c r="I231" s="38"/>
      <c r="J231" s="353">
        <v>541</v>
      </c>
      <c r="K231" s="88" t="s">
        <v>555</v>
      </c>
      <c r="L231" s="601">
        <f t="shared" si="20"/>
        <v>0</v>
      </c>
      <c r="P231" s="324"/>
      <c r="W231" s="3" t="b">
        <f t="shared" si="24"/>
        <v>1</v>
      </c>
      <c r="X231" s="598">
        <f t="shared" si="21"/>
        <v>0</v>
      </c>
      <c r="Y231" s="598">
        <f t="shared" si="22"/>
        <v>0</v>
      </c>
    </row>
    <row r="232" spans="1:27" ht="94.5" customHeight="1" x14ac:dyDescent="0.3">
      <c r="A232" s="342">
        <f>'Unit Data from Audit Worksheet'!A286</f>
        <v>542</v>
      </c>
      <c r="B232" s="356" t="str">
        <f>'Unit Data from Audit Worksheet'!C286</f>
        <v>Water Sewer - Disclosed in the Notes or in the recently approved Budget for next year.</v>
      </c>
      <c r="C232" s="341" t="str">
        <f>'Unit Data from Audit Worksheet'!D286</f>
        <v>Amount of the Water Sewer Fund Balance appropriated in next year's budget?</v>
      </c>
      <c r="D232" s="361"/>
      <c r="E232" s="362">
        <f>'Unit Data from Audit Worksheet'!F286</f>
        <v>0</v>
      </c>
      <c r="F232" s="355"/>
      <c r="G232" s="357"/>
      <c r="H232" s="354">
        <f>'Unit Data from Audit Worksheet'!I286</f>
        <v>0</v>
      </c>
      <c r="I232" s="38"/>
      <c r="J232" s="353">
        <v>542</v>
      </c>
      <c r="K232" s="352" t="s">
        <v>266</v>
      </c>
      <c r="L232" s="601">
        <f t="shared" si="20"/>
        <v>0</v>
      </c>
      <c r="N232" s="61" t="s">
        <v>546</v>
      </c>
      <c r="P232" s="324"/>
      <c r="W232" s="3" t="b">
        <f t="shared" si="24"/>
        <v>1</v>
      </c>
      <c r="X232" s="598">
        <f t="shared" si="21"/>
        <v>0</v>
      </c>
      <c r="Y232" s="598">
        <f t="shared" si="22"/>
        <v>0</v>
      </c>
    </row>
    <row r="233" spans="1:27" ht="93.75" customHeight="1" x14ac:dyDescent="0.3">
      <c r="A233" s="342">
        <f>'Unit Data from Audit Worksheet'!A289</f>
        <v>528</v>
      </c>
      <c r="B233" s="356" t="str">
        <f>'Unit Data from Audit Worksheet'!C289</f>
        <v>Analysis of Current Tax Levy Schedule</v>
      </c>
      <c r="C233" s="341" t="str">
        <f>'Unit Data from Audit Worksheet'!D289</f>
        <v>Please enter the Net Current year's levy for property excluding registered motor vehicles-- (after adjusting for discoveries and abatements)
Exclude Supplemental Taxes</v>
      </c>
      <c r="D233" s="361"/>
      <c r="E233" s="362">
        <f>'Unit Data from Audit Worksheet'!F289</f>
        <v>0</v>
      </c>
      <c r="F233" s="82" t="str">
        <f>IF(L233=0,"Must be completed if unit levys taxes","")</f>
        <v>Must be completed if unit levys taxes</v>
      </c>
      <c r="G233" s="357"/>
      <c r="H233" s="354"/>
      <c r="I233" s="38"/>
      <c r="J233" s="353">
        <v>528</v>
      </c>
      <c r="K233" s="640" t="s">
        <v>271</v>
      </c>
      <c r="L233" s="601">
        <f t="shared" si="20"/>
        <v>0</v>
      </c>
      <c r="N233" s="83"/>
      <c r="P233" s="324"/>
      <c r="W233" s="3" t="b">
        <f t="shared" si="24"/>
        <v>1</v>
      </c>
      <c r="X233" s="598">
        <f t="shared" si="21"/>
        <v>0</v>
      </c>
      <c r="Y233" s="598">
        <f t="shared" si="22"/>
        <v>0</v>
      </c>
    </row>
    <row r="234" spans="1:27" s="18" customFormat="1" ht="79.5" customHeight="1" x14ac:dyDescent="0.3">
      <c r="A234" s="342">
        <f>'Unit Data from Audit Worksheet'!A290</f>
        <v>529</v>
      </c>
      <c r="B234" s="356" t="str">
        <f>'Unit Data from Audit Worksheet'!C290</f>
        <v>Analysis of Current Tax Levy Schedule</v>
      </c>
      <c r="C234" s="341" t="str">
        <f>'Unit Data from Audit Worksheet'!D290</f>
        <v>Please enter the Net Current year's levy -- Motor vehicles (only) (after adjusting for discoveries and abatements)
Exclude supplemental taxes</v>
      </c>
      <c r="D234" s="361"/>
      <c r="E234" s="362">
        <f>'Unit Data from Audit Worksheet'!F290</f>
        <v>0</v>
      </c>
      <c r="F234" s="82" t="str">
        <f>IF(L234=0,"Must be completed if unit levys taxes","")</f>
        <v>Must be completed if unit levys taxes</v>
      </c>
      <c r="G234" s="357"/>
      <c r="H234" s="354"/>
      <c r="I234" s="38"/>
      <c r="J234" s="353">
        <v>529</v>
      </c>
      <c r="K234" s="640" t="s">
        <v>272</v>
      </c>
      <c r="L234" s="601">
        <f t="shared" si="20"/>
        <v>0</v>
      </c>
      <c r="N234" s="83"/>
      <c r="P234" s="324"/>
      <c r="Q234" s="591"/>
      <c r="R234" s="3"/>
      <c r="W234" s="3" t="b">
        <f t="shared" si="24"/>
        <v>1</v>
      </c>
      <c r="X234" s="598">
        <f t="shared" si="21"/>
        <v>0</v>
      </c>
      <c r="Y234" s="598">
        <f t="shared" si="22"/>
        <v>0</v>
      </c>
      <c r="AA234" s="3"/>
    </row>
    <row r="235" spans="1:27" s="18" customFormat="1" ht="75" customHeight="1" x14ac:dyDescent="0.3">
      <c r="A235" s="342">
        <f>'Unit Data from Audit Worksheet'!A291</f>
        <v>530</v>
      </c>
      <c r="B235" s="356" t="str">
        <f>'Unit Data from Audit Worksheet'!C291</f>
        <v>Analysis of Current Tax Levy Schedule</v>
      </c>
      <c r="C235" s="341" t="str">
        <f>'Unit Data from Audit Worksheet'!D291</f>
        <v>Uncollected Taxes - Curr Year's Levy Exclude Motor Vehicles
Exclude supplemental taxes</v>
      </c>
      <c r="D235" s="361"/>
      <c r="E235" s="362">
        <f>'Unit Data from Audit Worksheet'!F291</f>
        <v>0</v>
      </c>
      <c r="F235" s="82" t="str">
        <f>IF(L235=0,"Must be completed if unit levys taxes","")</f>
        <v>Must be completed if unit levys taxes</v>
      </c>
      <c r="G235" s="357"/>
      <c r="H235" s="354"/>
      <c r="I235" s="38"/>
      <c r="J235" s="353">
        <v>530</v>
      </c>
      <c r="K235" s="640" t="s">
        <v>273</v>
      </c>
      <c r="L235" s="601">
        <f t="shared" ref="L235:L241" si="25">IF(D235="",E235,D235)</f>
        <v>0</v>
      </c>
      <c r="N235" s="83"/>
      <c r="P235" s="324"/>
      <c r="Q235" s="591"/>
      <c r="R235" s="3"/>
      <c r="W235" s="3" t="b">
        <f t="shared" si="24"/>
        <v>1</v>
      </c>
      <c r="X235" s="598">
        <f t="shared" si="21"/>
        <v>0</v>
      </c>
      <c r="Y235" s="598">
        <f t="shared" si="22"/>
        <v>0</v>
      </c>
      <c r="AA235" s="3"/>
    </row>
    <row r="236" spans="1:27" s="18" customFormat="1" ht="68.25" customHeight="1" x14ac:dyDescent="0.3">
      <c r="A236" s="342">
        <f>'Unit Data from Audit Worksheet'!A292</f>
        <v>531</v>
      </c>
      <c r="B236" s="356" t="str">
        <f>'Unit Data from Audit Worksheet'!C292</f>
        <v>Analysis of Current Tax Levy Schedule</v>
      </c>
      <c r="C236" s="341" t="str">
        <f>'Unit Data from Audit Worksheet'!D292</f>
        <v>Uncollected Taxes - Curr Year's Levy Motor Vehicles
Exclude supplemental taxes</v>
      </c>
      <c r="D236" s="361"/>
      <c r="E236" s="362">
        <f>'Unit Data from Audit Worksheet'!F292</f>
        <v>0</v>
      </c>
      <c r="F236" s="82" t="str">
        <f>IF(L236=0,"Must be completed if unit levys taxes","")</f>
        <v>Must be completed if unit levys taxes</v>
      </c>
      <c r="G236" s="357"/>
      <c r="H236" s="354"/>
      <c r="I236" s="38"/>
      <c r="J236" s="353">
        <v>531</v>
      </c>
      <c r="K236" s="640" t="s">
        <v>274</v>
      </c>
      <c r="L236" s="601">
        <f t="shared" si="25"/>
        <v>0</v>
      </c>
      <c r="N236" s="83" t="str">
        <f>IF(T240=0,"Must be completed if unit levys taxes, zero acceptable if Motor Vehicle collection rate is 100%","")</f>
        <v>Must be completed if unit levys taxes, zero acceptable if Motor Vehicle collection rate is 100%</v>
      </c>
      <c r="P236" s="324"/>
      <c r="Q236" s="591"/>
      <c r="R236" s="3"/>
      <c r="W236" s="3" t="b">
        <f t="shared" si="24"/>
        <v>1</v>
      </c>
      <c r="X236" s="598">
        <f t="shared" si="21"/>
        <v>0</v>
      </c>
      <c r="Y236" s="598">
        <f t="shared" si="22"/>
        <v>0</v>
      </c>
      <c r="AA236" s="3"/>
    </row>
    <row r="237" spans="1:27" ht="90.75" customHeight="1" x14ac:dyDescent="0.3">
      <c r="A237" s="342">
        <f>'Unit Data from Audit Worksheet'!A293</f>
        <v>61</v>
      </c>
      <c r="B237" s="356" t="str">
        <f>'Unit Data from Audit Worksheet'!C293</f>
        <v>Analysis of Current Tax Levy Schedule</v>
      </c>
      <c r="C237" s="341" t="str">
        <f>'Unit Data from Audit Worksheet'!D293</f>
        <v>Tax collection rate- Total Levy UNIT-WIDE
Exclude supplemental taxes
(Enter as a percentage with two decimal places)</v>
      </c>
      <c r="D237" s="89"/>
      <c r="E237" s="150">
        <f>'Unit Data from Audit Worksheet'!F293</f>
        <v>0</v>
      </c>
      <c r="F237" s="87" t="str">
        <f>IF(L237=H237,"","Column H calculates the percentage using accounts 528, 529, 530, 531, please enter the correct amounts from the audit schedule for these cells")</f>
        <v/>
      </c>
      <c r="G237" s="357" t="str">
        <f>IF(Q237=1," Included in error count"," ")</f>
        <v xml:space="preserve"> </v>
      </c>
      <c r="H237" s="357">
        <f>ROUND(IFERROR(((L233+L234)-(L235+L236))/(L233+L234)*100,0),2)</f>
        <v>0</v>
      </c>
      <c r="I237" s="38"/>
      <c r="J237" s="353">
        <v>61</v>
      </c>
      <c r="K237" s="58" t="s">
        <v>268</v>
      </c>
      <c r="L237" s="641">
        <f t="shared" si="25"/>
        <v>0</v>
      </c>
      <c r="N237" s="83"/>
      <c r="P237" s="324"/>
      <c r="Q237" s="591">
        <f>IF(L237-H237&lt;&gt;0,1,0)</f>
        <v>0</v>
      </c>
      <c r="W237" s="3" t="b">
        <f t="shared" si="24"/>
        <v>1</v>
      </c>
      <c r="X237" s="598">
        <f t="shared" si="21"/>
        <v>0</v>
      </c>
      <c r="Y237" s="598">
        <f t="shared" si="22"/>
        <v>0</v>
      </c>
    </row>
    <row r="238" spans="1:27" ht="89.25" customHeight="1" x14ac:dyDescent="0.3">
      <c r="A238" s="342">
        <f>'Unit Data from Audit Worksheet'!A294</f>
        <v>102</v>
      </c>
      <c r="B238" s="356" t="str">
        <f>'Unit Data from Audit Worksheet'!C294</f>
        <v>Analysis of Current Tax Levy Schedule</v>
      </c>
      <c r="C238" s="341" t="str">
        <f>'Unit Data from Audit Worksheet'!D294</f>
        <v>Tax collection rate - Excluding Registered motor vehicles
Exclude supplemental taxes
(Enter as a percentage with two decimal places)</v>
      </c>
      <c r="D238" s="89"/>
      <c r="E238" s="150">
        <f>'Unit Data from Audit Worksheet'!F294</f>
        <v>0</v>
      </c>
      <c r="F238" s="87" t="str">
        <f>IF(L238=H238,"","Column H calculates the percentage using accounts 528 and 530,  please enter the correct amounts from the audit schedule for these cells")</f>
        <v/>
      </c>
      <c r="G238" s="357" t="str">
        <f>IF(Q238=1," Included in error count"," ")</f>
        <v xml:space="preserve"> </v>
      </c>
      <c r="H238" s="357">
        <f>ROUND(IFERROR(((L233)-(L235))/(L233)*100,0),2)</f>
        <v>0</v>
      </c>
      <c r="I238" s="38"/>
      <c r="J238" s="353">
        <v>102</v>
      </c>
      <c r="K238" s="58" t="s">
        <v>269</v>
      </c>
      <c r="L238" s="641">
        <f t="shared" si="25"/>
        <v>0</v>
      </c>
      <c r="N238" s="83"/>
      <c r="P238" s="324"/>
      <c r="Q238" s="591">
        <f>IF(L238-H238&lt;&gt;0,1,0)</f>
        <v>0</v>
      </c>
      <c r="W238" s="3" t="b">
        <f t="shared" si="24"/>
        <v>1</v>
      </c>
      <c r="X238" s="598">
        <f t="shared" si="21"/>
        <v>0</v>
      </c>
      <c r="Y238" s="598">
        <f t="shared" si="22"/>
        <v>0</v>
      </c>
    </row>
    <row r="239" spans="1:27" ht="87.75" customHeight="1" x14ac:dyDescent="0.3">
      <c r="A239" s="342">
        <f>'Unit Data from Audit Worksheet'!A295</f>
        <v>103</v>
      </c>
      <c r="B239" s="356" t="str">
        <f>'Unit Data from Audit Worksheet'!C295</f>
        <v>Analysis of Current Tax Levy Schedule</v>
      </c>
      <c r="C239" s="341" t="str">
        <f>'Unit Data from Audit Worksheet'!D295</f>
        <v>Tax collection rate - Registered motor vehicles
Exclude supplemental taxes
(Enter as a percentage with two decimal places)</v>
      </c>
      <c r="D239" s="89"/>
      <c r="E239" s="150">
        <f>'Unit Data from Audit Worksheet'!F295</f>
        <v>0</v>
      </c>
      <c r="F239" s="87" t="str">
        <f>IF(L239=H239,"","Column H calculates the percentage using accounts 529 and 531, please enter the correct amounts from the audit schedule for these cells")</f>
        <v/>
      </c>
      <c r="G239" s="357" t="str">
        <f>IF(Q239=1," Included in error count"," ")</f>
        <v xml:space="preserve"> </v>
      </c>
      <c r="H239" s="357">
        <f>ROUND(IFERROR(((L234)-(L236))/(L234)*100,0),2)</f>
        <v>0</v>
      </c>
      <c r="I239" s="38"/>
      <c r="J239" s="353">
        <v>103</v>
      </c>
      <c r="K239" s="58" t="s">
        <v>270</v>
      </c>
      <c r="L239" s="641">
        <f t="shared" si="25"/>
        <v>0</v>
      </c>
      <c r="N239" s="83"/>
      <c r="P239" s="324"/>
      <c r="Q239" s="591">
        <f>IF(L239-H239&lt;&gt;0,1,0)</f>
        <v>0</v>
      </c>
      <c r="W239" s="3" t="b">
        <f t="shared" si="24"/>
        <v>1</v>
      </c>
      <c r="X239" s="598">
        <f t="shared" si="21"/>
        <v>0</v>
      </c>
      <c r="Y239" s="598">
        <f t="shared" si="22"/>
        <v>0</v>
      </c>
    </row>
    <row r="240" spans="1:27" ht="86.25" customHeight="1" x14ac:dyDescent="0.3">
      <c r="A240" s="342">
        <f>'Unit Data from Audit Worksheet'!A296</f>
        <v>544</v>
      </c>
      <c r="B240" s="356" t="str">
        <f>'Unit Data from Audit Worksheet'!C296</f>
        <v>Analysis of Current Tax Levy Schedule</v>
      </c>
      <c r="C240" s="341" t="str">
        <f>'Unit Data from Audit Worksheet'!D296</f>
        <v>Property Tax Increase for Year Audited- enter amount of  increase in cents per $100 - leave blank if no increase 
Exclude supplemental taxes</v>
      </c>
      <c r="D240" s="361"/>
      <c r="E240" s="147">
        <f>'Unit Data from Audit Worksheet'!F296</f>
        <v>0</v>
      </c>
      <c r="F240" s="103"/>
      <c r="G240" s="357"/>
      <c r="H240" s="354">
        <f>'Unit Data from Audit Worksheet'!I296</f>
        <v>0</v>
      </c>
      <c r="I240" s="38"/>
      <c r="J240" s="353">
        <v>544</v>
      </c>
      <c r="K240" s="58" t="s">
        <v>53</v>
      </c>
      <c r="L240" s="642">
        <f t="shared" si="25"/>
        <v>0</v>
      </c>
      <c r="N240" s="61" t="s">
        <v>546</v>
      </c>
      <c r="P240" s="324"/>
      <c r="W240" s="3" t="b">
        <f t="shared" si="24"/>
        <v>1</v>
      </c>
      <c r="X240" s="598">
        <f t="shared" si="21"/>
        <v>0</v>
      </c>
      <c r="Y240" s="598">
        <f t="shared" si="22"/>
        <v>0</v>
      </c>
    </row>
    <row r="241" spans="1:25" ht="93.75" customHeight="1" x14ac:dyDescent="0.3">
      <c r="A241" s="342">
        <f>'Unit Data from Audit Worksheet'!A297</f>
        <v>545</v>
      </c>
      <c r="B241" s="356" t="str">
        <f>'Unit Data from Audit Worksheet'!C297</f>
        <v>Analysis of Current Tax Levy Schedule</v>
      </c>
      <c r="C241" s="341" t="str">
        <f>'Unit Data from Audit Worksheet'!D297</f>
        <v>Property Tax Increase for budget year after fiscal year being reported - enter amount of increase in cents per $100- leave blank if no increase
Exclude supplemental taxes</v>
      </c>
      <c r="D241" s="361"/>
      <c r="E241" s="147">
        <f>'Unit Data from Audit Worksheet'!F297</f>
        <v>0</v>
      </c>
      <c r="F241" s="355"/>
      <c r="G241" s="357"/>
      <c r="H241" s="354">
        <f>'Unit Data from Audit Worksheet'!I297</f>
        <v>0</v>
      </c>
      <c r="I241" s="38"/>
      <c r="J241" s="104">
        <v>545</v>
      </c>
      <c r="K241" s="58" t="s">
        <v>54</v>
      </c>
      <c r="L241" s="642">
        <f t="shared" si="25"/>
        <v>0</v>
      </c>
      <c r="N241" s="61" t="s">
        <v>546</v>
      </c>
      <c r="O241" s="610"/>
      <c r="P241" s="325"/>
      <c r="W241" s="3" t="b">
        <f t="shared" si="24"/>
        <v>1</v>
      </c>
      <c r="X241" s="598">
        <f t="shared" si="21"/>
        <v>0</v>
      </c>
      <c r="Y241" s="598">
        <f t="shared" si="22"/>
        <v>0</v>
      </c>
    </row>
    <row r="242" spans="1:25" ht="72.75" customHeight="1" x14ac:dyDescent="0.3">
      <c r="A242" s="342">
        <f>'Unit Data from Audit Worksheet'!A298</f>
        <v>624</v>
      </c>
      <c r="B242" s="356"/>
      <c r="C242" s="341" t="str">
        <f>'Unit Data from Audit Worksheet'!D298</f>
        <v>Does the County collect real estate property taxes on your behalf? Select "1" for "yes and "2" for "No"</v>
      </c>
      <c r="D242" s="361"/>
      <c r="E242" s="155">
        <f>'Unit Data from Audit Worksheet'!F298</f>
        <v>0</v>
      </c>
      <c r="F242" s="355"/>
      <c r="G242" s="357"/>
      <c r="H242" s="354"/>
      <c r="I242" s="38"/>
      <c r="J242" s="104">
        <v>624</v>
      </c>
      <c r="K242" s="58" t="s">
        <v>723</v>
      </c>
      <c r="L242" s="601">
        <f t="shared" ref="L242:L258" si="26">IF(D242="",E242,D242)</f>
        <v>0</v>
      </c>
      <c r="P242" s="325"/>
      <c r="W242" s="3" t="b">
        <f t="shared" si="24"/>
        <v>1</v>
      </c>
      <c r="X242" s="598">
        <f t="shared" si="21"/>
        <v>0</v>
      </c>
      <c r="Y242" s="598">
        <f t="shared" si="22"/>
        <v>0</v>
      </c>
    </row>
    <row r="243" spans="1:25" ht="72.75" customHeight="1" x14ac:dyDescent="0.3">
      <c r="A243" s="342">
        <f>'Unit Data from Audit Worksheet'!A299</f>
        <v>648</v>
      </c>
      <c r="B243" s="356"/>
      <c r="C243" s="341" t="str">
        <f>'Unit Data from Audit Worksheet'!D299</f>
        <v>Please enter your tax rate for ad valorem in effect for fiscal year audited.  Example 60 cents per 100 would be entered as .60</v>
      </c>
      <c r="D243" s="361"/>
      <c r="E243" s="155">
        <f>'Unit Data from Audit Worksheet'!F299</f>
        <v>0</v>
      </c>
      <c r="F243" s="355"/>
      <c r="G243" s="357"/>
      <c r="H243" s="354"/>
      <c r="I243" s="38"/>
      <c r="J243" s="104">
        <v>648</v>
      </c>
      <c r="K243" s="643" t="s">
        <v>1220</v>
      </c>
      <c r="L243" s="644">
        <f t="shared" si="26"/>
        <v>0</v>
      </c>
      <c r="P243" s="325"/>
      <c r="W243" s="3" t="b">
        <f t="shared" si="24"/>
        <v>1</v>
      </c>
      <c r="X243" s="598"/>
      <c r="Y243" s="598"/>
    </row>
    <row r="244" spans="1:25" ht="161.25" customHeight="1" x14ac:dyDescent="0.3">
      <c r="A244" s="617">
        <f>'Unit Data from Audit Worksheet'!A300</f>
        <v>991</v>
      </c>
      <c r="B244" s="360"/>
      <c r="C244" s="618"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61"/>
      <c r="E244" s="155">
        <f>'Unit Data from Audit Worksheet'!F300</f>
        <v>0</v>
      </c>
      <c r="F244" s="355"/>
      <c r="G244" s="357"/>
      <c r="H244" s="354" t="str">
        <f>'Unit Data from Audit Worksheet'!H300</f>
        <v>Avery, Bladen, Chowan, Craven, Duplin, Guilford, Harnett, Hoke, Jones, Mitchell, Onslow, Pasquotank, Watauga</v>
      </c>
      <c r="I244" s="38"/>
      <c r="J244" s="339">
        <v>991</v>
      </c>
      <c r="K244" s="628" t="s">
        <v>1821</v>
      </c>
      <c r="L244" s="601">
        <f t="shared" si="26"/>
        <v>0</v>
      </c>
      <c r="P244" s="325"/>
      <c r="W244" s="3" t="b">
        <f t="shared" si="24"/>
        <v>1</v>
      </c>
      <c r="X244" s="598"/>
      <c r="Y244" s="598"/>
    </row>
    <row r="245" spans="1:25" ht="87.75" customHeight="1" x14ac:dyDescent="0.3">
      <c r="A245" s="342">
        <f>'Unit Data from Audit Worksheet'!A302</f>
        <v>620</v>
      </c>
      <c r="B245" s="356"/>
      <c r="C245" s="341" t="str">
        <f>'Unit Data from Audit Worksheet'!D302</f>
        <v>Do you expect to issue debt requiring LGC approval within 12 months from the date that the audit is submitted - select "1" for yes and "2" for no</v>
      </c>
      <c r="D245" s="361"/>
      <c r="E245" s="155">
        <f>'Unit Data from Audit Worksheet'!F302</f>
        <v>0</v>
      </c>
      <c r="F245" s="355"/>
      <c r="G245" s="357"/>
      <c r="H245" s="354">
        <f>'Unit Data from Audit Worksheet'!I302</f>
        <v>0</v>
      </c>
      <c r="I245" s="38"/>
      <c r="J245" s="104">
        <v>620</v>
      </c>
      <c r="K245" s="58" t="s">
        <v>1207</v>
      </c>
      <c r="L245" s="601">
        <f t="shared" si="26"/>
        <v>0</v>
      </c>
      <c r="N245" s="137"/>
      <c r="P245" s="325"/>
      <c r="W245" s="3" t="b">
        <f t="shared" si="24"/>
        <v>1</v>
      </c>
      <c r="X245" s="598">
        <f t="shared" si="21"/>
        <v>0</v>
      </c>
      <c r="Y245" s="598">
        <f t="shared" si="22"/>
        <v>0</v>
      </c>
    </row>
    <row r="246" spans="1:25" ht="87.75" customHeight="1" x14ac:dyDescent="0.3">
      <c r="A246" s="617">
        <f>+'TD Info Completed by Auditor'!D41</f>
        <v>906</v>
      </c>
      <c r="B246" s="338" t="s">
        <v>1204</v>
      </c>
      <c r="C246" s="617" t="str">
        <f>+'TD Info Completed by Auditor'!E41</f>
        <v>Is the Independent Auditor's Report Opinion Unmodified?</v>
      </c>
      <c r="D246" s="361"/>
      <c r="E246" s="344">
        <f>IF(+'TD Info Completed by Auditor'!G41="Yes",1,IF(+'TD Info Completed by Auditor'!G41="No",2,IF(+'TD Info Completed by Auditor'!G41="N/A",3,0)))</f>
        <v>0</v>
      </c>
      <c r="F246" s="355"/>
      <c r="G246" s="357"/>
      <c r="H246" s="354"/>
      <c r="I246" s="38"/>
      <c r="J246" s="126">
        <v>906</v>
      </c>
      <c r="K246" s="628" t="s">
        <v>994</v>
      </c>
      <c r="L246" s="601">
        <f t="shared" si="26"/>
        <v>0</v>
      </c>
      <c r="N246" s="137" t="s">
        <v>1423</v>
      </c>
      <c r="P246" s="327"/>
      <c r="W246" s="3" t="b">
        <f t="shared" si="24"/>
        <v>1</v>
      </c>
      <c r="X246" s="598"/>
      <c r="Y246" s="598"/>
    </row>
    <row r="247" spans="1:25" ht="87.75" customHeight="1" x14ac:dyDescent="0.3">
      <c r="A247" s="617">
        <f>+'TD Info Completed by Auditor'!D43</f>
        <v>907</v>
      </c>
      <c r="B247" s="338" t="s">
        <v>1204</v>
      </c>
      <c r="C247" s="617" t="str">
        <f>+'TD Info Completed by Auditor'!E43</f>
        <v xml:space="preserve">Is there a finding for lack of segregation of duties at this unit? </v>
      </c>
      <c r="D247" s="361"/>
      <c r="E247" s="344">
        <f>IF(+'TD Info Completed by Auditor'!G43="Yes",1,IF(+'TD Info Completed by Auditor'!G43="No",2,IF(+'TD Info Completed by Auditor'!G43="N/A",3,0)))</f>
        <v>0</v>
      </c>
      <c r="F247" s="355"/>
      <c r="G247" s="357"/>
      <c r="H247" s="354"/>
      <c r="I247" s="38"/>
      <c r="J247" s="126">
        <v>907</v>
      </c>
      <c r="K247" s="628" t="s">
        <v>995</v>
      </c>
      <c r="L247" s="601">
        <f t="shared" si="26"/>
        <v>0</v>
      </c>
      <c r="N247" s="137" t="s">
        <v>1423</v>
      </c>
      <c r="P247" s="327"/>
      <c r="W247" s="3" t="b">
        <f t="shared" si="24"/>
        <v>1</v>
      </c>
      <c r="X247" s="598"/>
      <c r="Y247" s="598"/>
    </row>
    <row r="248" spans="1:25" ht="87.75" customHeight="1" x14ac:dyDescent="0.3">
      <c r="A248" s="617">
        <f>+'TD Info Completed by Auditor'!D45</f>
        <v>951</v>
      </c>
      <c r="B248" s="338" t="s">
        <v>1204</v>
      </c>
      <c r="C248" s="618" t="str">
        <f>+'TD Info Completed by Auditor'!E45</f>
        <v>Is there a finding for lack of technical skills, knowledge and experience (SKE) at this unit?</v>
      </c>
      <c r="D248" s="361"/>
      <c r="E248" s="344">
        <f>IF(+'TD Info Completed by Auditor'!G45="Yes",1,IF(+'TD Info Completed by Auditor'!G45="No",2,IF(+'TD Info Completed by Auditor'!G45="N/A",3,0)))</f>
        <v>0</v>
      </c>
      <c r="F248" s="355"/>
      <c r="G248" s="357"/>
      <c r="H248" s="354"/>
      <c r="I248" s="38"/>
      <c r="J248" s="126">
        <v>951</v>
      </c>
      <c r="K248" s="628" t="s">
        <v>996</v>
      </c>
      <c r="L248" s="601">
        <f t="shared" si="26"/>
        <v>0</v>
      </c>
      <c r="N248" s="137" t="s">
        <v>1423</v>
      </c>
      <c r="P248" s="327"/>
      <c r="W248" s="3" t="b">
        <f t="shared" si="24"/>
        <v>1</v>
      </c>
      <c r="X248" s="598"/>
      <c r="Y248" s="598"/>
    </row>
    <row r="249" spans="1:25" ht="87.75" customHeight="1" x14ac:dyDescent="0.3">
      <c r="A249" s="617">
        <f>+'TD Info Completed by Auditor'!D47</f>
        <v>953</v>
      </c>
      <c r="B249" s="338" t="s">
        <v>1204</v>
      </c>
      <c r="C249" s="618" t="str">
        <f>+'TD Info Completed by Auditor'!E47</f>
        <v xml:space="preserve">Is there is a going concern finding noted in the audit report? </v>
      </c>
      <c r="D249" s="361"/>
      <c r="E249" s="344">
        <f>IF(+'TD Info Completed by Auditor'!G47="Yes",1,IF(+'TD Info Completed by Auditor'!G47="No",2,IF(+'TD Info Completed by Auditor'!G47="N/A",3,0)))</f>
        <v>0</v>
      </c>
      <c r="F249" s="355"/>
      <c r="G249" s="357"/>
      <c r="H249" s="354"/>
      <c r="I249" s="38"/>
      <c r="J249" s="126">
        <v>953</v>
      </c>
      <c r="K249" s="628" t="s">
        <v>1680</v>
      </c>
      <c r="L249" s="601">
        <f t="shared" si="26"/>
        <v>0</v>
      </c>
      <c r="N249" s="137" t="s">
        <v>1423</v>
      </c>
      <c r="P249" s="327"/>
      <c r="W249" s="3" t="b">
        <f t="shared" si="24"/>
        <v>1</v>
      </c>
      <c r="X249" s="598"/>
      <c r="Y249" s="598"/>
    </row>
    <row r="250" spans="1:25" ht="87.75" customHeight="1" x14ac:dyDescent="0.3">
      <c r="A250" s="617">
        <f>+'TD Info Completed by Auditor'!D49</f>
        <v>955</v>
      </c>
      <c r="B250" s="338" t="s">
        <v>1204</v>
      </c>
      <c r="C250" s="618" t="str">
        <f>+'TD Info Completed by Auditor'!E49</f>
        <v>Number of significant deficiency findings (other than in Questions 15-18 )</v>
      </c>
      <c r="D250" s="361"/>
      <c r="E250" s="1264" t="str">
        <f>IF(ISBLANK('TD Info Completed by Auditor'!G49),"",'TD Info Completed by Auditor'!G49)</f>
        <v/>
      </c>
      <c r="F250" s="355"/>
      <c r="G250" s="357"/>
      <c r="H250" s="1265" t="s">
        <v>1853</v>
      </c>
      <c r="I250" s="38"/>
      <c r="J250" s="126">
        <v>955</v>
      </c>
      <c r="K250" s="628" t="s">
        <v>1208</v>
      </c>
      <c r="L250" s="601" t="str">
        <f t="shared" si="26"/>
        <v/>
      </c>
      <c r="N250" s="137" t="s">
        <v>1423</v>
      </c>
      <c r="P250" s="327"/>
      <c r="W250" s="3" t="b">
        <f t="shared" si="24"/>
        <v>1</v>
      </c>
      <c r="X250" s="598"/>
      <c r="Y250" s="598"/>
    </row>
    <row r="251" spans="1:25" ht="87.75" customHeight="1" x14ac:dyDescent="0.3">
      <c r="A251" s="617">
        <f>+'TD Info Completed by Auditor'!D51</f>
        <v>957</v>
      </c>
      <c r="B251" s="338" t="s">
        <v>1204</v>
      </c>
      <c r="C251" s="618" t="str">
        <f>+'TD Info Completed by Auditor'!E51</f>
        <v>Number of material weaknesses findings (other than in Questions 15-18)</v>
      </c>
      <c r="D251" s="361"/>
      <c r="E251" s="1264" t="str">
        <f>IF(ISBLANK('TD Info Completed by Auditor'!G51),"",'TD Info Completed by Auditor'!G51)</f>
        <v/>
      </c>
      <c r="F251" s="355"/>
      <c r="G251" s="357"/>
      <c r="H251" s="1265" t="s">
        <v>1854</v>
      </c>
      <c r="I251" s="38"/>
      <c r="J251" s="126">
        <v>957</v>
      </c>
      <c r="K251" s="628" t="s">
        <v>1209</v>
      </c>
      <c r="L251" s="601" t="str">
        <f t="shared" si="26"/>
        <v/>
      </c>
      <c r="N251" s="137" t="s">
        <v>1423</v>
      </c>
      <c r="P251" s="327"/>
      <c r="W251" s="3" t="b">
        <f t="shared" si="24"/>
        <v>1</v>
      </c>
      <c r="X251" s="598"/>
      <c r="Y251" s="598"/>
    </row>
    <row r="252" spans="1:25" ht="87.75" customHeight="1" x14ac:dyDescent="0.3">
      <c r="A252" s="617">
        <f>+'TD Info Completed by Auditor'!D53</f>
        <v>959</v>
      </c>
      <c r="B252" s="338" t="s">
        <v>1204</v>
      </c>
      <c r="C252" s="618" t="str">
        <f>+'TD Info Completed by Auditor'!E53</f>
        <v>Did the Unit have debt service payments deferred or restructured in this fiscal year? (does not include refinancings designed to take advantage of lower interest rates)  Select Yes, No, or NA</v>
      </c>
      <c r="D252" s="361"/>
      <c r="E252" s="344">
        <f>IF(+'TD Info Completed by Auditor'!G53="Yes",1,IF(+'TD Info Completed by Auditor'!G53="No",2,IF(+'TD Info Completed by Auditor'!G53="N/A",3,0)))</f>
        <v>0</v>
      </c>
      <c r="F252" s="355"/>
      <c r="G252" s="357"/>
      <c r="H252" s="354"/>
      <c r="I252" s="38"/>
      <c r="J252" s="126">
        <v>959</v>
      </c>
      <c r="K252" s="628" t="s">
        <v>1425</v>
      </c>
      <c r="L252" s="601">
        <f t="shared" si="26"/>
        <v>0</v>
      </c>
      <c r="N252" s="137" t="s">
        <v>1423</v>
      </c>
      <c r="P252" s="327"/>
      <c r="W252" s="3" t="b">
        <f t="shared" si="24"/>
        <v>1</v>
      </c>
      <c r="X252" s="598"/>
      <c r="Y252" s="598"/>
    </row>
    <row r="253" spans="1:25" ht="222" customHeight="1" x14ac:dyDescent="0.3">
      <c r="A253" s="617">
        <f>+'TD Info Completed by Auditor'!D57</f>
        <v>974</v>
      </c>
      <c r="B253" s="338" t="s">
        <v>1204</v>
      </c>
      <c r="C253" s="618"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61"/>
      <c r="E253" s="344">
        <f>IF(+'TD Info Completed by Auditor'!G57="Yes",1,IF(+'TD Info Completed by Auditor'!G57="No",2,IF(+'TD Info Completed by Auditor'!G57="N/A",3,0)))</f>
        <v>0</v>
      </c>
      <c r="F253" s="355"/>
      <c r="G253" s="357"/>
      <c r="H253" s="354"/>
      <c r="I253" s="38"/>
      <c r="J253" s="126">
        <v>974</v>
      </c>
      <c r="K253" s="628" t="s">
        <v>1681</v>
      </c>
      <c r="L253" s="601">
        <f t="shared" si="26"/>
        <v>0</v>
      </c>
      <c r="N253" s="137" t="s">
        <v>1423</v>
      </c>
      <c r="P253" s="327"/>
      <c r="W253" s="3" t="b">
        <f t="shared" si="24"/>
        <v>1</v>
      </c>
      <c r="X253" s="598"/>
      <c r="Y253" s="598"/>
    </row>
    <row r="254" spans="1:25" ht="177.75" customHeight="1" x14ac:dyDescent="0.3">
      <c r="A254" s="617">
        <f>+'TD Info Completed by Auditor'!D55</f>
        <v>973</v>
      </c>
      <c r="B254" s="338" t="s">
        <v>1204</v>
      </c>
      <c r="C254" s="337"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61"/>
      <c r="E254" s="344">
        <f>+'TD Info Completed by Auditor'!G55</f>
        <v>0</v>
      </c>
      <c r="F254" s="355"/>
      <c r="G254" s="357"/>
      <c r="H254" s="354"/>
      <c r="I254" s="38"/>
      <c r="J254" s="126">
        <v>973</v>
      </c>
      <c r="K254" s="628" t="s">
        <v>1377</v>
      </c>
      <c r="L254" s="601">
        <f t="shared" si="26"/>
        <v>0</v>
      </c>
      <c r="N254" s="137" t="s">
        <v>1423</v>
      </c>
      <c r="P254" s="327"/>
      <c r="W254" s="3" t="b">
        <f t="shared" si="24"/>
        <v>1</v>
      </c>
      <c r="X254" s="598"/>
      <c r="Y254" s="598"/>
    </row>
    <row r="255" spans="1:25" ht="87.75" customHeight="1" x14ac:dyDescent="0.3">
      <c r="A255" s="617">
        <f>+'TD Info Completed by Auditor'!D60</f>
        <v>965</v>
      </c>
      <c r="B255" s="338" t="s">
        <v>1204</v>
      </c>
      <c r="C255" s="618" t="str">
        <f>+'TD Info Completed by Auditor'!E60</f>
        <v xml:space="preserve">Is the Finance Officer bonded for at least $50,000? (GS 159-42(h) </v>
      </c>
      <c r="D255" s="361"/>
      <c r="E255" s="344">
        <f>IF(+'TD Info Completed by Auditor'!G60="Yes",1,IF(+'TD Info Completed by Auditor'!G60="No",2,IF(+'TD Info Completed by Auditor'!G60="N/A",3,0)))</f>
        <v>0</v>
      </c>
      <c r="F255" s="355"/>
      <c r="G255" s="357"/>
      <c r="H255" s="354"/>
      <c r="I255" s="38"/>
      <c r="J255" s="126">
        <v>965</v>
      </c>
      <c r="K255" s="628" t="s">
        <v>1001</v>
      </c>
      <c r="L255" s="601">
        <f t="shared" si="26"/>
        <v>0</v>
      </c>
      <c r="N255" s="1238"/>
      <c r="P255" s="327"/>
      <c r="W255" s="3" t="b">
        <f t="shared" si="24"/>
        <v>1</v>
      </c>
      <c r="X255" s="598"/>
      <c r="Y255" s="598"/>
    </row>
    <row r="256" spans="1:25" ht="87.75" customHeight="1" x14ac:dyDescent="0.3">
      <c r="A256" s="617">
        <f>+'TD Info Completed by Auditor'!D68</f>
        <v>977</v>
      </c>
      <c r="B256" s="338" t="s">
        <v>1204</v>
      </c>
      <c r="C256" s="618" t="str">
        <f>+'TD Info Completed by Auditor'!E68</f>
        <v>Does the entity have an  effective pre-audit process to ensure that pervasive budgetary over- expenditures do not occur at the budget ordinance level? Select Yes or No</v>
      </c>
      <c r="D256" s="361"/>
      <c r="E256" s="344">
        <f>IF(+'TD Info Completed by Auditor'!G68="Yes",1,IF(+'TD Info Completed by Auditor'!G68="No",2,0))</f>
        <v>0</v>
      </c>
      <c r="F256" s="355"/>
      <c r="G256" s="357"/>
      <c r="H256" s="354"/>
      <c r="I256" s="38"/>
      <c r="J256" s="126">
        <v>977</v>
      </c>
      <c r="K256" s="628" t="s">
        <v>1683</v>
      </c>
      <c r="L256" s="601">
        <f t="shared" si="26"/>
        <v>0</v>
      </c>
      <c r="N256" s="137" t="s">
        <v>1423</v>
      </c>
      <c r="P256" s="327"/>
      <c r="W256" s="3" t="b">
        <f t="shared" si="24"/>
        <v>1</v>
      </c>
      <c r="X256" s="598"/>
      <c r="Y256" s="598"/>
    </row>
    <row r="257" spans="1:25" ht="87.75" customHeight="1" x14ac:dyDescent="0.3">
      <c r="A257" s="617">
        <f>+'TD Info Completed by Auditor'!D70</f>
        <v>978</v>
      </c>
      <c r="B257" s="338" t="s">
        <v>1204</v>
      </c>
      <c r="C257" s="618" t="str">
        <f>+'TD Info Completed by Auditor'!E70</f>
        <v>Did the audit disclose any statutory violations in the notes that were not covered by findings?  Select Yes or No</v>
      </c>
      <c r="D257" s="361"/>
      <c r="E257" s="344" t="str">
        <f>IF(+'TD Info Completed by Auditor'!G70="Yes",1,IF(+'TD Info Completed by Auditor'!G70="No",2,IF(+'TD Info Completed by Auditor'!G70="","0")))</f>
        <v>0</v>
      </c>
      <c r="F257" s="355"/>
      <c r="G257" s="357"/>
      <c r="H257" s="354"/>
      <c r="I257" s="38"/>
      <c r="J257" s="126">
        <v>978</v>
      </c>
      <c r="K257" s="628" t="s">
        <v>1682</v>
      </c>
      <c r="L257" s="1274" t="str">
        <f t="shared" si="26"/>
        <v>0</v>
      </c>
      <c r="N257" s="137" t="s">
        <v>1423</v>
      </c>
      <c r="P257" s="327"/>
      <c r="W257" s="3" t="b">
        <f t="shared" si="24"/>
        <v>1</v>
      </c>
      <c r="X257" s="598"/>
      <c r="Y257" s="598"/>
    </row>
    <row r="258" spans="1:25" ht="87.75" customHeight="1" x14ac:dyDescent="0.3">
      <c r="A258" s="617">
        <f>+'TD Info Completed by Auditor'!D72</f>
        <v>979</v>
      </c>
      <c r="B258" s="338" t="s">
        <v>1204</v>
      </c>
      <c r="C258" s="618" t="str">
        <f>+'TD Info Completed by Auditor'!E72</f>
        <v>The Auditor will submit the Audit Report to the LGC by December 1, 2021   Select Yes or No</v>
      </c>
      <c r="D258" s="361"/>
      <c r="E258" s="344">
        <f>IF(+'TD Info Completed by Auditor'!G72="Yes",1,IF(+'TD Info Completed by Auditor'!G72="No",2,IF(+'TD Info Completed by Auditor'!G72="N/A",3,0)))</f>
        <v>0</v>
      </c>
      <c r="F258" s="355"/>
      <c r="G258" s="357"/>
      <c r="H258" s="354"/>
      <c r="I258" s="38"/>
      <c r="J258" s="126">
        <v>979</v>
      </c>
      <c r="K258" s="628" t="s">
        <v>1161</v>
      </c>
      <c r="L258" s="601">
        <f t="shared" si="26"/>
        <v>0</v>
      </c>
      <c r="N258" s="137" t="s">
        <v>1423</v>
      </c>
      <c r="P258" s="327"/>
      <c r="W258" s="3" t="b">
        <f t="shared" si="24"/>
        <v>1</v>
      </c>
      <c r="X258" s="598"/>
      <c r="Y258" s="598"/>
    </row>
    <row r="259" spans="1:25" ht="87.75" customHeight="1" x14ac:dyDescent="0.3">
      <c r="A259" s="617">
        <f>+'TD Info Completed by Auditor'!D76</f>
        <v>975</v>
      </c>
      <c r="B259" s="338" t="s">
        <v>1204</v>
      </c>
      <c r="C259" s="618" t="str">
        <f>+'TD Info Completed by Auditor'!E76</f>
        <v>The Performance Indicator Tab in this worksheet has at least one performance indicator of concern (indicated by a red shaded cell)</v>
      </c>
      <c r="D259" s="361"/>
      <c r="E259" s="344">
        <f>IF(+'TD Info Completed by Auditor'!G76="Yes",1,IF(+'TD Info Completed by Auditor'!G76="No",2,IF(+'TD Info Completed by Auditor'!G76="N/A",3,0)))</f>
        <v>0</v>
      </c>
      <c r="F259" s="355"/>
      <c r="G259" s="357"/>
      <c r="H259" s="354"/>
      <c r="I259" s="38"/>
      <c r="J259" s="126">
        <v>975</v>
      </c>
      <c r="K259" s="628" t="s">
        <v>1210</v>
      </c>
      <c r="L259" s="601">
        <f>IF(D259="",E259,D259)</f>
        <v>0</v>
      </c>
      <c r="N259" s="137" t="s">
        <v>1423</v>
      </c>
      <c r="P259" s="327"/>
      <c r="W259" s="3" t="b">
        <f>EXACT(A259,J259)</f>
        <v>1</v>
      </c>
      <c r="X259" s="598"/>
      <c r="Y259" s="598"/>
    </row>
    <row r="260" spans="1:25" ht="112.5" customHeight="1" x14ac:dyDescent="0.3">
      <c r="A260" s="617">
        <f>+'TD Info Completed by Auditor'!D78</f>
        <v>976</v>
      </c>
      <c r="B260" s="338" t="s">
        <v>1204</v>
      </c>
      <c r="C260" s="337"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61"/>
      <c r="E260" s="344">
        <f>IF(+'TD Info Completed by Auditor'!G78="Yes",1,IF(+'TD Info Completed by Auditor'!G78="No",2,IF(+'TD Info Completed by Auditor'!G78="N/A",3,0)))</f>
        <v>0</v>
      </c>
      <c r="F260" s="355"/>
      <c r="G260" s="357"/>
      <c r="H260" s="354"/>
      <c r="I260" s="38"/>
      <c r="J260" s="126">
        <v>976</v>
      </c>
      <c r="K260" s="628" t="s">
        <v>1379</v>
      </c>
      <c r="L260" s="601">
        <f>IF(D260="",E260,D260)</f>
        <v>0</v>
      </c>
      <c r="N260" s="137" t="s">
        <v>1423</v>
      </c>
      <c r="P260" s="327"/>
      <c r="W260" s="3" t="b">
        <f>EXACT(A260,J260)</f>
        <v>1</v>
      </c>
      <c r="X260" s="598"/>
      <c r="Y260" s="598"/>
    </row>
    <row r="261" spans="1:25" ht="109.95" customHeight="1" x14ac:dyDescent="0.3">
      <c r="A261" s="645">
        <v>336</v>
      </c>
      <c r="B261" s="374"/>
      <c r="C261" s="646" t="s">
        <v>1489</v>
      </c>
      <c r="D261" s="647" t="s">
        <v>1390</v>
      </c>
      <c r="E261" s="648" t="s">
        <v>1391</v>
      </c>
      <c r="F261" s="375" t="s">
        <v>1389</v>
      </c>
      <c r="G261" s="357"/>
      <c r="H261" s="354"/>
      <c r="I261" s="38"/>
      <c r="J261" s="376">
        <v>336</v>
      </c>
      <c r="K261" s="649" t="s">
        <v>1394</v>
      </c>
      <c r="L261" s="650">
        <f>L10-L11-L12-L13-L14-L15-L16</f>
        <v>0</v>
      </c>
      <c r="M261" s="651"/>
      <c r="N261" s="390" t="s">
        <v>1392</v>
      </c>
      <c r="P261" s="327"/>
      <c r="X261" s="598"/>
      <c r="Y261" s="598"/>
    </row>
    <row r="262" spans="1:25" ht="129" customHeight="1" x14ac:dyDescent="0.3">
      <c r="A262" s="645">
        <v>44</v>
      </c>
      <c r="B262" s="374"/>
      <c r="C262" s="652" t="s">
        <v>1490</v>
      </c>
      <c r="D262" s="647" t="s">
        <v>1381</v>
      </c>
      <c r="E262" s="653" t="s">
        <v>1382</v>
      </c>
      <c r="F262" s="375" t="s">
        <v>1389</v>
      </c>
      <c r="G262" s="357"/>
      <c r="H262" s="354"/>
      <c r="I262" s="38"/>
      <c r="J262" s="376">
        <v>44</v>
      </c>
      <c r="K262" s="649" t="s">
        <v>1395</v>
      </c>
      <c r="L262" s="650">
        <f>L120-L121-L118</f>
        <v>0</v>
      </c>
      <c r="M262" s="651"/>
      <c r="N262" s="390" t="s">
        <v>1393</v>
      </c>
      <c r="P262" s="327"/>
      <c r="X262" s="598"/>
      <c r="Y262" s="598"/>
    </row>
    <row r="263" spans="1:25" ht="169.5" customHeight="1" x14ac:dyDescent="0.3">
      <c r="A263" s="645">
        <v>45</v>
      </c>
      <c r="B263" s="374"/>
      <c r="C263" s="654" t="s">
        <v>1491</v>
      </c>
      <c r="D263" s="647" t="s">
        <v>1383</v>
      </c>
      <c r="E263" s="648" t="s">
        <v>1384</v>
      </c>
      <c r="F263" s="375" t="s">
        <v>1389</v>
      </c>
      <c r="G263" s="357"/>
      <c r="H263" s="354"/>
      <c r="I263" s="38"/>
      <c r="J263" s="376">
        <v>45</v>
      </c>
      <c r="K263" s="649" t="s">
        <v>1396</v>
      </c>
      <c r="L263" s="650">
        <f>L124-L125-L126-L127-L128-L129-L123</f>
        <v>0</v>
      </c>
      <c r="M263" s="651"/>
      <c r="N263" s="390" t="s">
        <v>1414</v>
      </c>
      <c r="P263" s="327"/>
      <c r="X263" s="598"/>
      <c r="Y263" s="598"/>
    </row>
    <row r="264" spans="1:25" ht="87.75" customHeight="1" x14ac:dyDescent="0.3">
      <c r="A264" s="645">
        <v>47</v>
      </c>
      <c r="B264" s="374"/>
      <c r="C264" s="375" t="s">
        <v>1398</v>
      </c>
      <c r="D264" s="647" t="s">
        <v>1385</v>
      </c>
      <c r="E264" s="648" t="s">
        <v>1387</v>
      </c>
      <c r="F264" s="375" t="s">
        <v>1389</v>
      </c>
      <c r="G264" s="357"/>
      <c r="H264" s="354"/>
      <c r="I264" s="38"/>
      <c r="J264" s="376">
        <v>47</v>
      </c>
      <c r="K264" s="649" t="s">
        <v>1397</v>
      </c>
      <c r="L264" s="650">
        <f>L138-L139-L136</f>
        <v>0</v>
      </c>
      <c r="M264" s="651"/>
      <c r="N264" s="390" t="s">
        <v>1415</v>
      </c>
      <c r="P264" s="327"/>
      <c r="X264" s="598"/>
      <c r="Y264" s="598"/>
    </row>
    <row r="265" spans="1:25" ht="152.25" customHeight="1" x14ac:dyDescent="0.3">
      <c r="A265" s="645">
        <v>48</v>
      </c>
      <c r="B265" s="374"/>
      <c r="C265" s="375" t="s">
        <v>1399</v>
      </c>
      <c r="D265" s="647" t="s">
        <v>1386</v>
      </c>
      <c r="E265" s="648" t="s">
        <v>1388</v>
      </c>
      <c r="F265" s="375" t="s">
        <v>1389</v>
      </c>
      <c r="G265" s="357"/>
      <c r="H265" s="354"/>
      <c r="I265" s="38"/>
      <c r="J265" s="376">
        <v>48</v>
      </c>
      <c r="K265" s="649" t="s">
        <v>123</v>
      </c>
      <c r="L265" s="650">
        <f>L143-L144-L145-L146-L147-L148-L142</f>
        <v>0</v>
      </c>
      <c r="M265" s="651"/>
      <c r="N265" s="390" t="s">
        <v>1416</v>
      </c>
      <c r="P265" s="327"/>
      <c r="X265" s="598"/>
      <c r="Y265" s="598"/>
    </row>
    <row r="266" spans="1:25" ht="113.4" customHeight="1" x14ac:dyDescent="0.3">
      <c r="A266" s="655"/>
      <c r="B266" s="97"/>
      <c r="C266" s="656"/>
      <c r="D266" s="138"/>
      <c r="E266" s="146"/>
      <c r="F266" s="66"/>
      <c r="G266" s="140"/>
      <c r="H266" s="141"/>
      <c r="I266" s="38"/>
      <c r="J266" s="377">
        <v>998</v>
      </c>
      <c r="K266" s="378" t="s">
        <v>292</v>
      </c>
      <c r="L266" s="657" t="e">
        <f>HLOOKUP('Unit Data from Audit Worksheet'!$D$2,'2020 Data(H)'!A1:CZ402,247,FALSE)</f>
        <v>#N/A</v>
      </c>
      <c r="M266" s="651"/>
      <c r="N266" s="390" t="s">
        <v>1400</v>
      </c>
      <c r="P266" s="323"/>
      <c r="W266" s="3" t="b">
        <f>EXACT(A266,J266)</f>
        <v>0</v>
      </c>
      <c r="X266" s="598" t="e">
        <f t="shared" si="21"/>
        <v>#N/A</v>
      </c>
      <c r="Y266" s="598" t="e">
        <f t="shared" si="22"/>
        <v>#N/A</v>
      </c>
    </row>
    <row r="267" spans="1:25" ht="119.4" customHeight="1" x14ac:dyDescent="0.3">
      <c r="A267" s="655"/>
      <c r="B267" s="97"/>
      <c r="C267" s="656"/>
      <c r="D267" s="658"/>
      <c r="E267" s="659"/>
      <c r="F267" s="660"/>
      <c r="G267" s="661"/>
      <c r="H267" s="662"/>
      <c r="I267" s="38"/>
      <c r="J267" s="379">
        <v>995</v>
      </c>
      <c r="K267" s="380" t="s">
        <v>290</v>
      </c>
      <c r="L267" s="663" t="e">
        <f>HLOOKUP('Unit Data from Audit Worksheet'!$D$2,'2020 Data(H)'!A1:CZ402,244,FALSE)</f>
        <v>#N/A</v>
      </c>
      <c r="M267" s="651"/>
      <c r="N267" s="390" t="s">
        <v>1417</v>
      </c>
      <c r="P267" s="324"/>
      <c r="W267" s="3" t="b">
        <f>EXACT(A267,J267)</f>
        <v>0</v>
      </c>
      <c r="X267" s="664" t="e">
        <f t="shared" si="21"/>
        <v>#N/A</v>
      </c>
      <c r="Y267" s="598" t="e">
        <f t="shared" si="22"/>
        <v>#N/A</v>
      </c>
    </row>
    <row r="268" spans="1:25" ht="104.4" customHeight="1" x14ac:dyDescent="0.3">
      <c r="A268" s="655"/>
      <c r="B268" s="97"/>
      <c r="C268" s="656"/>
      <c r="D268" s="658"/>
      <c r="E268" s="659"/>
      <c r="F268" s="660"/>
      <c r="G268" s="661"/>
      <c r="H268" s="662"/>
      <c r="I268" s="38"/>
      <c r="J268" s="379">
        <v>996</v>
      </c>
      <c r="K268" s="380" t="s">
        <v>291</v>
      </c>
      <c r="L268" s="663" t="e">
        <f>HLOOKUP('Unit Data from Audit Worksheet'!$D$2,'2020 Data(H)'!A1:CZ402,245,FALSE)</f>
        <v>#N/A</v>
      </c>
      <c r="M268" s="651"/>
      <c r="N268" s="390" t="s">
        <v>1418</v>
      </c>
      <c r="P268" s="324"/>
      <c r="W268" s="3" t="b">
        <f>EXACT(A268,J268)</f>
        <v>0</v>
      </c>
      <c r="X268" s="664" t="e">
        <f t="shared" si="21"/>
        <v>#N/A</v>
      </c>
      <c r="Y268" s="598" t="e">
        <f t="shared" si="22"/>
        <v>#N/A</v>
      </c>
    </row>
    <row r="269" spans="1:25" ht="43.2" x14ac:dyDescent="0.3">
      <c r="A269" s="655"/>
      <c r="B269" s="97"/>
      <c r="C269" s="656"/>
      <c r="D269" s="658"/>
      <c r="E269" s="659"/>
      <c r="F269" s="660"/>
      <c r="G269" s="661"/>
      <c r="H269" s="665"/>
      <c r="I269" s="38"/>
      <c r="J269" s="171">
        <v>554</v>
      </c>
      <c r="K269" s="666" t="s">
        <v>578</v>
      </c>
      <c r="L269" s="627"/>
      <c r="N269" s="667"/>
      <c r="P269" s="325"/>
      <c r="X269" s="664"/>
      <c r="Y269" s="598"/>
    </row>
    <row r="270" spans="1:25" ht="43.2" x14ac:dyDescent="0.3">
      <c r="A270" s="655"/>
      <c r="B270" s="97"/>
      <c r="C270" s="656"/>
      <c r="D270" s="658"/>
      <c r="E270" s="659"/>
      <c r="F270" s="660"/>
      <c r="G270" s="661"/>
      <c r="H270" s="665"/>
      <c r="I270" s="38"/>
      <c r="J270" s="171">
        <v>555</v>
      </c>
      <c r="K270" s="666" t="s">
        <v>580</v>
      </c>
      <c r="L270" s="627"/>
      <c r="N270" s="667"/>
      <c r="P270" s="325"/>
      <c r="X270" s="664"/>
      <c r="Y270" s="598"/>
    </row>
    <row r="271" spans="1:25" ht="43.2" x14ac:dyDescent="0.3">
      <c r="A271" s="655"/>
      <c r="B271" s="97"/>
      <c r="C271" s="656"/>
      <c r="D271" s="658"/>
      <c r="E271" s="659"/>
      <c r="F271" s="660"/>
      <c r="G271" s="661"/>
      <c r="H271" s="665"/>
      <c r="I271" s="38"/>
      <c r="J271" s="171">
        <v>556</v>
      </c>
      <c r="K271" s="666" t="s">
        <v>582</v>
      </c>
      <c r="L271" s="627"/>
      <c r="N271" s="667"/>
      <c r="P271" s="325"/>
      <c r="X271" s="664"/>
      <c r="Y271" s="598"/>
    </row>
    <row r="272" spans="1:25" ht="43.2" x14ac:dyDescent="0.3">
      <c r="A272" s="655"/>
      <c r="B272" s="97"/>
      <c r="C272" s="656"/>
      <c r="D272" s="658"/>
      <c r="E272" s="659"/>
      <c r="F272" s="660"/>
      <c r="G272" s="661"/>
      <c r="H272" s="665"/>
      <c r="I272" s="38"/>
      <c r="J272" s="171">
        <v>557</v>
      </c>
      <c r="K272" s="666" t="s">
        <v>584</v>
      </c>
      <c r="L272" s="627"/>
      <c r="N272" s="667"/>
      <c r="P272" s="325"/>
      <c r="X272" s="664"/>
      <c r="Y272" s="598"/>
    </row>
    <row r="273" spans="1:25" ht="43.2" x14ac:dyDescent="0.3">
      <c r="A273" s="655"/>
      <c r="B273" s="97"/>
      <c r="C273" s="656"/>
      <c r="D273" s="658"/>
      <c r="E273" s="659"/>
      <c r="F273" s="660"/>
      <c r="G273" s="661"/>
      <c r="H273" s="665"/>
      <c r="I273" s="38"/>
      <c r="J273" s="171">
        <v>606</v>
      </c>
      <c r="K273" s="666" t="s">
        <v>940</v>
      </c>
      <c r="L273" s="627"/>
      <c r="N273" s="667"/>
      <c r="P273" s="325"/>
      <c r="X273" s="664"/>
      <c r="Y273" s="598"/>
    </row>
    <row r="274" spans="1:25" ht="39.75" customHeight="1" x14ac:dyDescent="0.3">
      <c r="A274" s="655"/>
      <c r="B274" s="97"/>
      <c r="C274" s="656"/>
      <c r="D274" s="658"/>
      <c r="E274" s="659"/>
      <c r="F274" s="660"/>
      <c r="G274" s="661"/>
      <c r="H274" s="665"/>
      <c r="I274" s="38"/>
      <c r="J274" s="331">
        <v>662</v>
      </c>
      <c r="K274" s="668" t="s">
        <v>941</v>
      </c>
      <c r="L274" s="669"/>
      <c r="N274" s="667"/>
      <c r="P274" s="331"/>
      <c r="X274" s="664"/>
      <c r="Y274" s="598"/>
    </row>
    <row r="275" spans="1:25" ht="39" customHeight="1" x14ac:dyDescent="0.3">
      <c r="A275" s="655"/>
      <c r="B275" s="97"/>
      <c r="C275" s="656"/>
      <c r="D275" s="658"/>
      <c r="E275" s="659"/>
      <c r="F275" s="660"/>
      <c r="G275" s="661"/>
      <c r="H275" s="665"/>
      <c r="I275" s="38"/>
      <c r="J275" s="331">
        <v>663</v>
      </c>
      <c r="K275" s="670" t="s">
        <v>942</v>
      </c>
      <c r="L275" s="669"/>
      <c r="N275" s="667"/>
      <c r="P275" s="331"/>
      <c r="X275" s="664"/>
      <c r="Y275" s="598"/>
    </row>
    <row r="276" spans="1:25" s="18" customFormat="1" ht="22.5" customHeight="1" x14ac:dyDescent="0.3">
      <c r="A276" s="655"/>
      <c r="B276" s="97"/>
      <c r="C276" s="656"/>
      <c r="D276" s="138"/>
      <c r="E276" s="139"/>
      <c r="F276" s="66"/>
      <c r="G276" s="140"/>
      <c r="H276" s="141"/>
      <c r="I276" s="38"/>
      <c r="J276" s="142"/>
      <c r="K276" s="671"/>
      <c r="L276" s="672"/>
      <c r="N276" s="388"/>
      <c r="P276" s="325"/>
      <c r="Q276" s="591"/>
      <c r="W276" s="18" t="b">
        <f t="shared" ref="W276:W284" si="27">EXACT(A276,J276)</f>
        <v>1</v>
      </c>
      <c r="X276" s="607">
        <f t="shared" si="21"/>
        <v>0</v>
      </c>
      <c r="Y276" s="607">
        <f t="shared" si="22"/>
        <v>0</v>
      </c>
    </row>
    <row r="277" spans="1:25" ht="99" customHeight="1" x14ac:dyDescent="0.3">
      <c r="A277" s="342">
        <f>'Unit Data from Audit Worksheet'!A304</f>
        <v>947</v>
      </c>
      <c r="B277" s="131"/>
      <c r="C277" s="341" t="str">
        <f>'Unit Data from Audit Worksheet'!D304</f>
        <v>First name of finance officer or interim finance officer (please enter “vacant” for first name if the position is currently vacant)</v>
      </c>
      <c r="D277" s="364"/>
      <c r="E277" s="186">
        <f>'Unit Data from Audit Worksheet'!F304</f>
        <v>0</v>
      </c>
      <c r="F277" s="355" t="str">
        <f>'Unit Data from Audit Worksheet'!G304</f>
        <v>Please do not leave blank</v>
      </c>
      <c r="G277" s="357"/>
      <c r="H277" s="354"/>
      <c r="I277" s="38"/>
      <c r="J277" s="175">
        <v>947</v>
      </c>
      <c r="K277" s="673" t="s">
        <v>808</v>
      </c>
      <c r="L277" s="674">
        <f t="shared" ref="L277:L290" si="28">IF(D277="",E277,D277)</f>
        <v>0</v>
      </c>
      <c r="N277" s="667"/>
      <c r="P277" s="331"/>
      <c r="Q277" s="633">
        <f t="shared" ref="Q277:Q284" si="29">IF(L277=0,1,0)</f>
        <v>1</v>
      </c>
      <c r="W277" s="3" t="b">
        <f t="shared" si="27"/>
        <v>1</v>
      </c>
      <c r="X277" s="598">
        <f t="shared" ref="X277:X291" si="30">E277-L277</f>
        <v>0</v>
      </c>
      <c r="Y277" s="598">
        <f t="shared" ref="Y277:Y291" si="31">D277-L277</f>
        <v>0</v>
      </c>
    </row>
    <row r="278" spans="1:25" ht="128.25" customHeight="1" x14ac:dyDescent="0.3">
      <c r="A278" s="342">
        <f>'Unit Data from Audit Worksheet'!A305</f>
        <v>948</v>
      </c>
      <c r="B278" s="131"/>
      <c r="C278" s="341" t="str">
        <f>'Unit Data from Audit Worksheet'!D305</f>
        <v>Last name of finance officer or interim finance officer (please enter “vacant” for last name if the position is currently vacant)</v>
      </c>
      <c r="D278" s="364"/>
      <c r="E278" s="675">
        <f>'Unit Data from Audit Worksheet'!F305</f>
        <v>0</v>
      </c>
      <c r="F278" s="355" t="str">
        <f>'Unit Data from Audit Worksheet'!G305</f>
        <v>Please do not leave blank</v>
      </c>
      <c r="G278" s="357"/>
      <c r="H278" s="354"/>
      <c r="I278" s="38"/>
      <c r="J278" s="175">
        <v>948</v>
      </c>
      <c r="K278" s="673" t="s">
        <v>809</v>
      </c>
      <c r="L278" s="674">
        <f t="shared" si="28"/>
        <v>0</v>
      </c>
      <c r="N278" s="667"/>
      <c r="P278" s="331"/>
      <c r="Q278" s="633">
        <f t="shared" si="29"/>
        <v>1</v>
      </c>
      <c r="W278" s="3" t="b">
        <f t="shared" si="27"/>
        <v>1</v>
      </c>
      <c r="X278" s="598">
        <f t="shared" si="30"/>
        <v>0</v>
      </c>
      <c r="Y278" s="598">
        <f t="shared" si="31"/>
        <v>0</v>
      </c>
    </row>
    <row r="279" spans="1:25" ht="61.5" customHeight="1" x14ac:dyDescent="0.3">
      <c r="A279" s="342">
        <f>'Unit Data from Audit Worksheet'!A306</f>
        <v>949</v>
      </c>
      <c r="B279" s="131"/>
      <c r="C279" s="341" t="str">
        <f>'Unit Data from Audit Worksheet'!D306</f>
        <v>Is the finance officer serving in a permanent role or an interim role? (select permanent/interim/vacant)</v>
      </c>
      <c r="D279" s="364"/>
      <c r="E279" s="186">
        <f>'Unit Data from Audit Worksheet'!F306</f>
        <v>0</v>
      </c>
      <c r="F279" s="355" t="str">
        <f>'Unit Data from Audit Worksheet'!G306</f>
        <v>Please do not leave blank</v>
      </c>
      <c r="G279" s="357"/>
      <c r="H279" s="354"/>
      <c r="I279" s="38"/>
      <c r="J279" s="175">
        <v>949</v>
      </c>
      <c r="K279" s="673" t="s">
        <v>837</v>
      </c>
      <c r="L279" s="674">
        <f t="shared" si="28"/>
        <v>0</v>
      </c>
      <c r="N279" s="667"/>
      <c r="P279" s="331"/>
      <c r="Q279" s="633">
        <f t="shared" si="29"/>
        <v>1</v>
      </c>
      <c r="W279" s="3" t="b">
        <f t="shared" si="27"/>
        <v>1</v>
      </c>
      <c r="X279" s="598">
        <f t="shared" si="30"/>
        <v>0</v>
      </c>
      <c r="Y279" s="598">
        <f t="shared" si="31"/>
        <v>0</v>
      </c>
    </row>
    <row r="280" spans="1:25" ht="93.75" customHeight="1" x14ac:dyDescent="0.3">
      <c r="A280" s="342">
        <f>'Unit Data from Audit Worksheet'!A307</f>
        <v>950</v>
      </c>
      <c r="B280" s="131"/>
      <c r="C280" s="341" t="str">
        <f>'Unit Data from Audit Worksheet'!D307</f>
        <v>Has the finance officer been formally appointed by the local government, public authority, or designated official?  (Y/N)</v>
      </c>
      <c r="D280" s="364"/>
      <c r="E280" s="186">
        <f>'Unit Data from Audit Worksheet'!F307</f>
        <v>0</v>
      </c>
      <c r="F280" s="355" t="str">
        <f>'Unit Data from Audit Worksheet'!G307</f>
        <v>Please do not leave blank</v>
      </c>
      <c r="G280" s="357"/>
      <c r="H280" s="354"/>
      <c r="I280" s="38"/>
      <c r="J280" s="175">
        <v>950</v>
      </c>
      <c r="K280" s="673" t="s">
        <v>838</v>
      </c>
      <c r="L280" s="674">
        <f t="shared" si="28"/>
        <v>0</v>
      </c>
      <c r="N280" s="667"/>
      <c r="P280" s="331"/>
      <c r="Q280" s="633">
        <f t="shared" si="29"/>
        <v>1</v>
      </c>
      <c r="W280" s="3" t="b">
        <f t="shared" si="27"/>
        <v>1</v>
      </c>
      <c r="X280" s="598">
        <f t="shared" si="30"/>
        <v>0</v>
      </c>
      <c r="Y280" s="598">
        <f t="shared" si="31"/>
        <v>0</v>
      </c>
    </row>
    <row r="281" spans="1:25" ht="153.75" customHeight="1" x14ac:dyDescent="0.3">
      <c r="A281" s="342">
        <f>'Unit Data from Audit Worksheet'!A308</f>
        <v>952</v>
      </c>
      <c r="B281" s="131"/>
      <c r="C281" s="341"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4"/>
      <c r="E281" s="135" t="str">
        <f>IF('Unit Data from Audit Worksheet'!F308&gt;0,'Unit Data from Audit Worksheet'!F308," ")</f>
        <v xml:space="preserve"> </v>
      </c>
      <c r="F281" s="355" t="str">
        <f>'Unit Data from Audit Worksheet'!G308</f>
        <v>Leave blank if data not available</v>
      </c>
      <c r="G281" s="357"/>
      <c r="H281" s="354"/>
      <c r="I281" s="38"/>
      <c r="J281" s="175">
        <v>952</v>
      </c>
      <c r="K281" s="673" t="s">
        <v>839</v>
      </c>
      <c r="L281" s="676" t="str">
        <f t="shared" si="28"/>
        <v xml:space="preserve"> </v>
      </c>
      <c r="N281" s="667"/>
      <c r="P281" s="331"/>
      <c r="Q281" s="633">
        <f t="shared" si="29"/>
        <v>0</v>
      </c>
      <c r="W281" s="3" t="b">
        <f t="shared" si="27"/>
        <v>1</v>
      </c>
      <c r="X281" s="598" t="e">
        <f t="shared" si="30"/>
        <v>#VALUE!</v>
      </c>
      <c r="Y281" s="598" t="e">
        <f t="shared" si="31"/>
        <v>#VALUE!</v>
      </c>
    </row>
    <row r="282" spans="1:25" ht="153.75" customHeight="1" x14ac:dyDescent="0.3">
      <c r="A282" s="342">
        <f>'Unit Data from Audit Worksheet'!A309</f>
        <v>954</v>
      </c>
      <c r="B282" s="131"/>
      <c r="C282" s="341" t="str">
        <f>'Unit Data from Audit Worksheet'!D309</f>
        <v>Has the finance officer or interim finance officer read, understand, and is in compliance with the requirements of N.C.G.S. 159, as applicable based on unit type and circumstances? (Y/N)</v>
      </c>
      <c r="D282" s="364"/>
      <c r="E282" s="186">
        <f>'Unit Data from Audit Worksheet'!F309</f>
        <v>0</v>
      </c>
      <c r="F282" s="355" t="str">
        <f>'Unit Data from Audit Worksheet'!G309</f>
        <v>Please do not leave blank</v>
      </c>
      <c r="G282" s="357"/>
      <c r="H282" s="354"/>
      <c r="I282" s="38"/>
      <c r="J282" s="175">
        <v>954</v>
      </c>
      <c r="K282" s="673" t="s">
        <v>840</v>
      </c>
      <c r="L282" s="674">
        <f t="shared" si="28"/>
        <v>0</v>
      </c>
      <c r="N282" s="667"/>
      <c r="P282" s="331"/>
      <c r="Q282" s="633">
        <f t="shared" si="29"/>
        <v>1</v>
      </c>
      <c r="W282" s="3" t="b">
        <f t="shared" si="27"/>
        <v>1</v>
      </c>
      <c r="X282" s="598">
        <f t="shared" si="30"/>
        <v>0</v>
      </c>
      <c r="Y282" s="598">
        <f t="shared" si="31"/>
        <v>0</v>
      </c>
    </row>
    <row r="283" spans="1:25" ht="153.75" customHeight="1" x14ac:dyDescent="0.3">
      <c r="A283" s="342">
        <f>'Unit Data from Audit Worksheet'!A310</f>
        <v>956</v>
      </c>
      <c r="B283" s="131"/>
      <c r="C283" s="341" t="str">
        <f>'Unit Data from Audit Worksheet'!D310</f>
        <v>Does the finance officer or interim finance officer maintain and update (or ensures the maintenance and update of)  financial records monthly, including reconciliation of bank accounts to the general ledger? (Y/N)</v>
      </c>
      <c r="D283" s="364"/>
      <c r="E283" s="186">
        <f>'Unit Data from Audit Worksheet'!F310</f>
        <v>0</v>
      </c>
      <c r="F283" s="355" t="str">
        <f>'Unit Data from Audit Worksheet'!G310</f>
        <v>Please do not leave blank</v>
      </c>
      <c r="G283" s="357"/>
      <c r="H283" s="354"/>
      <c r="I283" s="38"/>
      <c r="J283" s="175">
        <v>956</v>
      </c>
      <c r="K283" s="673" t="s">
        <v>841</v>
      </c>
      <c r="L283" s="674">
        <f t="shared" si="28"/>
        <v>0</v>
      </c>
      <c r="N283" s="667"/>
      <c r="P283" s="331"/>
      <c r="Q283" s="633">
        <f t="shared" si="29"/>
        <v>1</v>
      </c>
      <c r="W283" s="3" t="b">
        <f t="shared" si="27"/>
        <v>1</v>
      </c>
      <c r="X283" s="598">
        <f t="shared" si="30"/>
        <v>0</v>
      </c>
      <c r="Y283" s="598">
        <f t="shared" si="31"/>
        <v>0</v>
      </c>
    </row>
    <row r="284" spans="1:25" ht="201.6" x14ac:dyDescent="0.3">
      <c r="A284" s="342">
        <f>'Unit Data from Audit Worksheet'!A311</f>
        <v>958</v>
      </c>
      <c r="B284" s="131"/>
      <c r="C284" s="341"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4"/>
      <c r="E284" s="186">
        <f>'Unit Data from Audit Worksheet'!F311</f>
        <v>0</v>
      </c>
      <c r="F284" s="355" t="str">
        <f>'Unit Data from Audit Worksheet'!G311</f>
        <v>Please do not leave blank</v>
      </c>
      <c r="G284" s="357"/>
      <c r="H284" s="354"/>
      <c r="I284" s="38"/>
      <c r="J284" s="175">
        <v>958</v>
      </c>
      <c r="K284" s="673" t="s">
        <v>842</v>
      </c>
      <c r="L284" s="677">
        <f t="shared" si="28"/>
        <v>0</v>
      </c>
      <c r="N284" s="667"/>
      <c r="P284" s="331"/>
      <c r="Q284" s="633">
        <f t="shared" si="29"/>
        <v>1</v>
      </c>
      <c r="W284" s="3" t="b">
        <f t="shared" si="27"/>
        <v>1</v>
      </c>
      <c r="X284" s="598">
        <f t="shared" si="30"/>
        <v>0</v>
      </c>
      <c r="Y284" s="598">
        <f t="shared" si="31"/>
        <v>0</v>
      </c>
    </row>
    <row r="285" spans="1:25" ht="30.75" customHeight="1" x14ac:dyDescent="0.3">
      <c r="A285" s="678">
        <f>'Unit Data from Audit Worksheet'!A319</f>
        <v>960</v>
      </c>
      <c r="B285" s="182"/>
      <c r="C285" s="183" t="str">
        <f>'Unit Data from Audit Worksheet'!B319</f>
        <v>Name of Finance Officer</v>
      </c>
      <c r="D285" s="364"/>
      <c r="E285" s="679">
        <f>'Unit Data from Audit Worksheet'!D319</f>
        <v>0</v>
      </c>
      <c r="F285" s="680" t="str">
        <f>'Unit Data from Audit Worksheet'!F319</f>
        <v>Required</v>
      </c>
      <c r="G285" s="357"/>
      <c r="H285" s="354"/>
      <c r="I285" s="38"/>
      <c r="J285" s="185">
        <v>960</v>
      </c>
      <c r="K285" s="681" t="s">
        <v>833</v>
      </c>
      <c r="L285" s="682">
        <f t="shared" si="28"/>
        <v>0</v>
      </c>
      <c r="N285" s="625"/>
      <c r="P285" s="331"/>
      <c r="Q285" s="633">
        <f>IF(L285=0,1,0)</f>
        <v>1</v>
      </c>
      <c r="X285" s="598"/>
      <c r="Y285" s="598"/>
    </row>
    <row r="286" spans="1:25" ht="30.75" customHeight="1" x14ac:dyDescent="0.3">
      <c r="A286" s="678">
        <f>'Unit Data from Audit Worksheet'!A320</f>
        <v>962</v>
      </c>
      <c r="B286" s="182"/>
      <c r="C286" s="183" t="str">
        <f>'Unit Data from Audit Worksheet'!B320</f>
        <v>Title of Official</v>
      </c>
      <c r="D286" s="364"/>
      <c r="E286" s="679">
        <f>'Unit Data from Audit Worksheet'!D320</f>
        <v>0</v>
      </c>
      <c r="F286" s="680" t="str">
        <f>'Unit Data from Audit Worksheet'!F320</f>
        <v>Required</v>
      </c>
      <c r="G286" s="357"/>
      <c r="H286" s="354"/>
      <c r="I286" s="38"/>
      <c r="J286" s="185">
        <v>962</v>
      </c>
      <c r="K286" s="681" t="s">
        <v>788</v>
      </c>
      <c r="L286" s="682">
        <f t="shared" si="28"/>
        <v>0</v>
      </c>
      <c r="N286" s="625"/>
      <c r="P286" s="331"/>
      <c r="Q286" s="633">
        <f>IF(L286=0,1,0)</f>
        <v>1</v>
      </c>
      <c r="X286" s="598"/>
      <c r="Y286" s="598"/>
    </row>
    <row r="287" spans="1:25" ht="30.75" customHeight="1" x14ac:dyDescent="0.3">
      <c r="A287" s="678">
        <f>'Unit Data from Audit Worksheet'!A321</f>
        <v>964</v>
      </c>
      <c r="B287" s="182"/>
      <c r="C287" s="184" t="str">
        <f>'Unit Data from Audit Worksheet'!B321</f>
        <v>Date                        (Enter as "MM/DD/YYYY")</v>
      </c>
      <c r="D287" s="364"/>
      <c r="E287" s="683" t="str">
        <f>IF('Unit Data from Audit Worksheet'!D321&gt;0,'Unit Data from Audit Worksheet'!D321," ")</f>
        <v xml:space="preserve"> </v>
      </c>
      <c r="F287" s="680" t="str">
        <f>'Unit Data from Audit Worksheet'!F321</f>
        <v>Required</v>
      </c>
      <c r="G287" s="357"/>
      <c r="H287" s="354"/>
      <c r="I287" s="38"/>
      <c r="J287" s="185">
        <v>964</v>
      </c>
      <c r="K287" s="681" t="s">
        <v>952</v>
      </c>
      <c r="L287" s="684" t="str">
        <f t="shared" si="28"/>
        <v xml:space="preserve"> </v>
      </c>
      <c r="N287" s="625"/>
      <c r="P287" s="331"/>
      <c r="Q287" s="633">
        <f>IF(L287=0,1,0)</f>
        <v>0</v>
      </c>
      <c r="X287" s="598"/>
      <c r="Y287" s="598"/>
    </row>
    <row r="288" spans="1:25" ht="30.75" customHeight="1" x14ac:dyDescent="0.3">
      <c r="A288" s="678">
        <f>'Unit Data from Audit Worksheet'!A322</f>
        <v>966</v>
      </c>
      <c r="B288" s="182"/>
      <c r="C288" s="183" t="str">
        <f>'Unit Data from Audit Worksheet'!B322</f>
        <v>Telephone number</v>
      </c>
      <c r="D288" s="364"/>
      <c r="E288" s="679">
        <f>'Unit Data from Audit Worksheet'!D322</f>
        <v>0</v>
      </c>
      <c r="F288" s="680" t="str">
        <f>'Unit Data from Audit Worksheet'!F322</f>
        <v>Required</v>
      </c>
      <c r="G288" s="357"/>
      <c r="H288" s="354"/>
      <c r="I288" s="38"/>
      <c r="J288" s="185">
        <v>966</v>
      </c>
      <c r="K288" s="681" t="s">
        <v>790</v>
      </c>
      <c r="L288" s="682">
        <f t="shared" si="28"/>
        <v>0</v>
      </c>
      <c r="N288" s="625"/>
      <c r="P288" s="331"/>
      <c r="Q288" s="633">
        <f>IF(L288=0,1,0)</f>
        <v>1</v>
      </c>
      <c r="X288" s="598"/>
      <c r="Y288" s="598"/>
    </row>
    <row r="289" spans="1:25" ht="30.75" customHeight="1" x14ac:dyDescent="0.3">
      <c r="A289" s="678">
        <f>'Unit Data from Audit Worksheet'!A323</f>
        <v>968</v>
      </c>
      <c r="B289" s="182"/>
      <c r="C289" s="183" t="str">
        <f>'Unit Data from Audit Worksheet'!B323</f>
        <v>E-mail address</v>
      </c>
      <c r="D289" s="364"/>
      <c r="E289" s="679">
        <f>'Unit Data from Audit Worksheet'!D323</f>
        <v>0</v>
      </c>
      <c r="F289" s="680" t="str">
        <f>'Unit Data from Audit Worksheet'!F323</f>
        <v>Required</v>
      </c>
      <c r="G289" s="357"/>
      <c r="H289" s="354"/>
      <c r="I289" s="38"/>
      <c r="J289" s="185">
        <v>968</v>
      </c>
      <c r="K289" s="681" t="s">
        <v>791</v>
      </c>
      <c r="L289" s="682">
        <f t="shared" si="28"/>
        <v>0</v>
      </c>
      <c r="N289" s="625"/>
      <c r="P289" s="331"/>
      <c r="Q289" s="633">
        <f>IF(L289=0,1,0)</f>
        <v>1</v>
      </c>
      <c r="X289" s="598"/>
      <c r="Y289" s="598"/>
    </row>
    <row r="290" spans="1:25" ht="75.599999999999994" customHeight="1" x14ac:dyDescent="0.3">
      <c r="A290" s="685">
        <f>+'TD Info Completed by Auditor'!D74</f>
        <v>980</v>
      </c>
      <c r="B290" s="374" t="s">
        <v>1204</v>
      </c>
      <c r="C290" s="391" t="str">
        <f>+'TD Info Completed by Auditor'!E74</f>
        <v>Date the Auditor presented or plans to present the Audit to the Governing Board</v>
      </c>
      <c r="D290" s="364"/>
      <c r="E290" s="686" t="str">
        <f>IF('TD Info Completed by Auditor'!G74&gt;0,'TD Info Completed by Auditor'!G74," ")</f>
        <v xml:space="preserve"> </v>
      </c>
      <c r="F290" s="687" t="s">
        <v>1421</v>
      </c>
      <c r="G290" s="357"/>
      <c r="H290" s="354"/>
      <c r="I290" s="38"/>
      <c r="J290" s="392">
        <v>980</v>
      </c>
      <c r="K290" s="393" t="s">
        <v>1159</v>
      </c>
      <c r="L290" s="688" t="str">
        <f t="shared" si="28"/>
        <v xml:space="preserve"> </v>
      </c>
      <c r="N290" s="625"/>
      <c r="P290" s="331"/>
      <c r="Q290" s="633"/>
      <c r="X290" s="598"/>
      <c r="Y290" s="598"/>
    </row>
    <row r="291" spans="1:25" ht="83.4" customHeight="1" x14ac:dyDescent="0.3">
      <c r="A291" s="655"/>
      <c r="B291" s="97"/>
      <c r="C291" s="656"/>
      <c r="D291" s="658"/>
      <c r="E291" s="659"/>
      <c r="F291" s="660"/>
      <c r="G291" s="661"/>
      <c r="H291" s="662"/>
      <c r="I291" s="38"/>
      <c r="J291" s="175">
        <v>999</v>
      </c>
      <c r="K291" s="673" t="s">
        <v>293</v>
      </c>
      <c r="L291" s="689" t="e">
        <f>'Unit Data from Audit Worksheet'!D3</f>
        <v>#N/A</v>
      </c>
      <c r="M291" s="651"/>
      <c r="N291" s="690" t="s">
        <v>1420</v>
      </c>
      <c r="O291" s="690" t="s">
        <v>1419</v>
      </c>
      <c r="P291" s="331"/>
      <c r="W291" s="3" t="b">
        <f>EXACT(A291,J291)</f>
        <v>0</v>
      </c>
      <c r="X291" s="598" t="e">
        <f t="shared" si="30"/>
        <v>#N/A</v>
      </c>
      <c r="Y291" s="598" t="e">
        <f t="shared" si="31"/>
        <v>#N/A</v>
      </c>
    </row>
    <row r="292" spans="1:25" x14ac:dyDescent="0.3">
      <c r="A292" s="304"/>
      <c r="B292" s="304"/>
      <c r="C292" s="304"/>
      <c r="D292" s="304"/>
      <c r="E292" s="304"/>
      <c r="F292" s="304"/>
      <c r="G292" s="304"/>
      <c r="H292" s="304"/>
      <c r="I292" s="304"/>
      <c r="J292" s="3"/>
      <c r="K292" s="3"/>
      <c r="L292" s="3"/>
      <c r="N292" s="4"/>
      <c r="P292" s="332"/>
    </row>
    <row r="293" spans="1:25" x14ac:dyDescent="0.3">
      <c r="D293" s="692"/>
      <c r="E293" s="693"/>
      <c r="F293" s="693"/>
      <c r="G293" s="694"/>
      <c r="H293" s="693"/>
      <c r="I293" s="695"/>
      <c r="K293" s="10"/>
      <c r="L293" s="696"/>
      <c r="N293" s="4"/>
      <c r="P293" s="332"/>
    </row>
    <row r="294" spans="1:25" ht="18" x14ac:dyDescent="0.35">
      <c r="A294" s="164" t="s">
        <v>722</v>
      </c>
      <c r="B294" s="165"/>
      <c r="C294" s="166"/>
      <c r="D294" s="167"/>
      <c r="E294" s="168"/>
      <c r="F294" s="693"/>
      <c r="G294" s="694"/>
      <c r="H294" s="693"/>
      <c r="I294" s="695"/>
      <c r="L294" s="696"/>
      <c r="N294" s="4"/>
      <c r="P294" s="332"/>
    </row>
    <row r="295" spans="1:25" ht="117" customHeight="1" x14ac:dyDescent="0.7">
      <c r="A295" s="342">
        <f>'Unit Data from Audit Worksheet'!A88</f>
        <v>590</v>
      </c>
      <c r="B295" s="342"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3">
        <f>'Unit Data from Audit Worksheet'!F88</f>
        <v>0</v>
      </c>
      <c r="F295" s="80">
        <f>'Unit Data from Audit Worksheet'!G88</f>
        <v>0</v>
      </c>
      <c r="G295" s="694"/>
      <c r="H295" s="693"/>
      <c r="I295" s="695"/>
      <c r="J295" s="157" t="e">
        <f>SUM(Q5:Q295)</f>
        <v>#N/A</v>
      </c>
      <c r="K295" s="156" t="s">
        <v>830</v>
      </c>
      <c r="L295" s="696" t="e">
        <f>SUM(G5:G245)</f>
        <v>#N/A</v>
      </c>
      <c r="N295" s="4"/>
      <c r="P295" s="332"/>
    </row>
    <row r="296" spans="1:25" ht="14.25" customHeight="1" x14ac:dyDescent="0.3">
      <c r="A296" s="304"/>
      <c r="B296" s="304"/>
      <c r="C296" s="304"/>
      <c r="D296" s="304"/>
      <c r="E296" s="304"/>
      <c r="F296" s="693"/>
      <c r="G296" s="694"/>
      <c r="H296" s="693"/>
      <c r="I296" s="695"/>
      <c r="K296" s="10"/>
      <c r="L296" s="697"/>
      <c r="P296" s="332"/>
      <c r="Q296" s="85"/>
    </row>
    <row r="297" spans="1:25" x14ac:dyDescent="0.3">
      <c r="A297" s="304"/>
      <c r="B297" s="304"/>
      <c r="C297" s="304"/>
      <c r="D297" s="304"/>
      <c r="E297" s="304"/>
      <c r="F297" s="693"/>
      <c r="G297" s="694"/>
      <c r="H297" s="693"/>
      <c r="I297" s="695"/>
      <c r="K297" s="10"/>
      <c r="L297" s="697"/>
      <c r="P297" s="332"/>
    </row>
    <row r="298" spans="1:25" ht="18.75" customHeight="1" x14ac:dyDescent="0.3">
      <c r="A298" s="304"/>
      <c r="B298" s="304"/>
      <c r="C298" s="304"/>
      <c r="D298" s="304"/>
      <c r="E298" s="304"/>
      <c r="F298" s="693"/>
      <c r="G298" s="694"/>
      <c r="H298" s="693"/>
      <c r="I298" s="695"/>
      <c r="J298" s="5">
        <f>SUM(J5:J245)</f>
        <v>98821</v>
      </c>
      <c r="K298" s="10"/>
      <c r="L298" s="697"/>
      <c r="P298" s="332"/>
    </row>
    <row r="299" spans="1:25" ht="30.75" customHeight="1" x14ac:dyDescent="0.3">
      <c r="A299" s="304"/>
      <c r="B299" s="304"/>
      <c r="C299" s="304"/>
      <c r="D299" s="304"/>
      <c r="E299" s="304"/>
      <c r="F299" s="693"/>
      <c r="G299" s="694"/>
      <c r="H299" s="693"/>
      <c r="I299" s="695"/>
      <c r="J299" s="5">
        <f>SUM(J261:J265)+SUM(J277:J290)</f>
        <v>13934</v>
      </c>
      <c r="K299" s="10"/>
      <c r="L299" s="697"/>
      <c r="P299" s="332"/>
    </row>
    <row r="300" spans="1:25" ht="30.75" customHeight="1" x14ac:dyDescent="0.3">
      <c r="A300" s="304"/>
      <c r="B300" s="304"/>
      <c r="C300" s="304"/>
      <c r="D300" s="304"/>
      <c r="E300" s="304"/>
      <c r="F300" s="693"/>
      <c r="G300" s="694"/>
      <c r="H300" s="693"/>
      <c r="I300" s="695"/>
      <c r="J300" s="5">
        <f>+J298+J299</f>
        <v>112755</v>
      </c>
      <c r="K300" s="10"/>
      <c r="L300" s="697"/>
      <c r="P300" s="332"/>
    </row>
    <row r="301" spans="1:25" ht="30.75" customHeight="1" x14ac:dyDescent="0.3">
      <c r="A301" s="304"/>
      <c r="B301" s="304"/>
      <c r="C301" s="304"/>
      <c r="D301" s="304"/>
      <c r="E301" s="304"/>
      <c r="F301" s="693"/>
      <c r="G301" s="694"/>
      <c r="H301" s="693"/>
      <c r="I301" s="695"/>
      <c r="J301" s="5">
        <f>+'Unit Data from Audit Worksheet'!A327</f>
        <v>96734</v>
      </c>
      <c r="K301" s="10"/>
      <c r="L301" s="697"/>
      <c r="P301" s="332"/>
    </row>
    <row r="302" spans="1:25" ht="30.75" customHeight="1" x14ac:dyDescent="0.3">
      <c r="A302" s="304"/>
      <c r="B302" s="304"/>
      <c r="C302" s="304"/>
      <c r="D302" s="304"/>
      <c r="E302" s="304"/>
      <c r="F302" s="693"/>
      <c r="G302" s="694"/>
      <c r="H302" s="693"/>
      <c r="I302" s="695"/>
      <c r="J302" s="5">
        <f>+J300-J301</f>
        <v>16021</v>
      </c>
      <c r="K302" s="10"/>
      <c r="L302" s="697"/>
      <c r="P302" s="332"/>
    </row>
    <row r="303" spans="1:25" ht="30.75" customHeight="1" x14ac:dyDescent="0.3">
      <c r="A303" s="304"/>
      <c r="B303" s="304"/>
      <c r="C303" s="304"/>
      <c r="D303" s="304"/>
      <c r="E303" s="304"/>
      <c r="F303" s="693"/>
      <c r="G303" s="694"/>
      <c r="H303" s="693"/>
      <c r="I303" s="695"/>
      <c r="K303" s="10"/>
      <c r="L303" s="697"/>
      <c r="P303" s="332"/>
    </row>
    <row r="304" spans="1:25" x14ac:dyDescent="0.3">
      <c r="A304" s="304"/>
      <c r="B304" s="304"/>
      <c r="C304" s="304"/>
      <c r="D304" s="304"/>
      <c r="E304" s="304"/>
      <c r="I304" s="695"/>
      <c r="K304" s="10"/>
      <c r="L304" s="697"/>
      <c r="P304" s="332"/>
    </row>
    <row r="305" spans="1:16" x14ac:dyDescent="0.3">
      <c r="A305" s="304"/>
      <c r="B305" s="304"/>
      <c r="C305" s="304"/>
      <c r="D305" s="304"/>
      <c r="E305" s="304"/>
      <c r="I305" s="695"/>
      <c r="L305" s="697"/>
      <c r="P305" s="332"/>
    </row>
    <row r="306" spans="1:16" x14ac:dyDescent="0.3">
      <c r="A306" s="5"/>
      <c r="B306" s="698"/>
      <c r="C306" s="26"/>
      <c r="D306" s="79"/>
      <c r="I306" s="695"/>
      <c r="L306" s="697"/>
      <c r="P306" s="332"/>
    </row>
    <row r="307" spans="1:16" x14ac:dyDescent="0.3">
      <c r="A307" s="5"/>
      <c r="B307" s="698"/>
      <c r="C307" s="26"/>
      <c r="D307" s="79"/>
      <c r="L307" s="697"/>
      <c r="P307" s="332"/>
    </row>
    <row r="308" spans="1:16" x14ac:dyDescent="0.3">
      <c r="D308" s="79"/>
      <c r="P308" s="332"/>
    </row>
    <row r="309" spans="1:16" x14ac:dyDescent="0.3">
      <c r="D309" s="79"/>
      <c r="P309" s="332"/>
    </row>
    <row r="310" spans="1:16" x14ac:dyDescent="0.3">
      <c r="D310" s="79"/>
      <c r="P310" s="332"/>
    </row>
    <row r="311" spans="1:16" x14ac:dyDescent="0.3">
      <c r="D311" s="79"/>
      <c r="P311" s="332"/>
    </row>
    <row r="312" spans="1:16" x14ac:dyDescent="0.3">
      <c r="A312" s="5"/>
      <c r="B312" s="698"/>
      <c r="C312" s="26"/>
      <c r="D312" s="79"/>
      <c r="P312" s="332"/>
    </row>
    <row r="313" spans="1:16" x14ac:dyDescent="0.3">
      <c r="A313" s="5"/>
      <c r="B313" s="698"/>
      <c r="C313" s="26"/>
      <c r="D313" s="79"/>
      <c r="P313" s="332"/>
    </row>
    <row r="314" spans="1:16" x14ac:dyDescent="0.3">
      <c r="D314" s="79"/>
      <c r="P314" s="332"/>
    </row>
    <row r="315" spans="1:16" x14ac:dyDescent="0.3">
      <c r="D315" s="79"/>
      <c r="P315" s="332"/>
    </row>
    <row r="316" spans="1:16" x14ac:dyDescent="0.3">
      <c r="D316" s="79"/>
      <c r="P316" s="332"/>
    </row>
    <row r="317" spans="1:16" x14ac:dyDescent="0.3">
      <c r="D317" s="79"/>
      <c r="P317" s="332"/>
    </row>
    <row r="318" spans="1:16" x14ac:dyDescent="0.3">
      <c r="A318" s="5"/>
      <c r="B318" s="698"/>
      <c r="C318" s="26"/>
      <c r="D318" s="79"/>
      <c r="P318" s="332"/>
    </row>
    <row r="319" spans="1:16" x14ac:dyDescent="0.3">
      <c r="A319" s="5"/>
      <c r="B319" s="698"/>
      <c r="C319" s="26"/>
      <c r="D319" s="79"/>
      <c r="P319" s="332"/>
    </row>
    <row r="320" spans="1:16" x14ac:dyDescent="0.3">
      <c r="D320" s="79"/>
      <c r="P320" s="332"/>
    </row>
    <row r="321" spans="1:16" x14ac:dyDescent="0.3">
      <c r="D321" s="79"/>
      <c r="P321" s="332"/>
    </row>
    <row r="322" spans="1:16" x14ac:dyDescent="0.3">
      <c r="D322" s="79"/>
      <c r="P322" s="332"/>
    </row>
    <row r="323" spans="1:16" x14ac:dyDescent="0.3">
      <c r="D323" s="79"/>
      <c r="P323" s="332"/>
    </row>
    <row r="324" spans="1:16" x14ac:dyDescent="0.3">
      <c r="A324" s="5"/>
      <c r="B324" s="698"/>
      <c r="C324" s="26"/>
      <c r="D324" s="79"/>
      <c r="P324" s="332"/>
    </row>
    <row r="325" spans="1:16" x14ac:dyDescent="0.3">
      <c r="A325" s="5"/>
      <c r="B325" s="698"/>
      <c r="C325" s="26"/>
      <c r="D325" s="79"/>
      <c r="P325" s="332"/>
    </row>
    <row r="326" spans="1:16" x14ac:dyDescent="0.3">
      <c r="A326" s="5"/>
      <c r="B326" s="698"/>
      <c r="C326" s="26"/>
      <c r="D326" s="79"/>
      <c r="P326" s="332"/>
    </row>
    <row r="327" spans="1:16" x14ac:dyDescent="0.3">
      <c r="A327" s="5"/>
      <c r="B327" s="698"/>
      <c r="C327" s="26"/>
      <c r="D327" s="79"/>
      <c r="P327" s="332"/>
    </row>
    <row r="328" spans="1:16" x14ac:dyDescent="0.3">
      <c r="D328" s="79"/>
      <c r="P328" s="332"/>
    </row>
    <row r="329" spans="1:16" x14ac:dyDescent="0.3">
      <c r="D329" s="79"/>
      <c r="P329" s="332"/>
    </row>
    <row r="330" spans="1:16" x14ac:dyDescent="0.3">
      <c r="D330" s="79"/>
      <c r="P330" s="332"/>
    </row>
    <row r="331" spans="1:16" x14ac:dyDescent="0.3">
      <c r="A331" s="5"/>
      <c r="B331" s="698"/>
      <c r="C331" s="26"/>
      <c r="D331" s="79"/>
      <c r="P331" s="332"/>
    </row>
    <row r="332" spans="1:16" x14ac:dyDescent="0.3">
      <c r="A332" s="5"/>
      <c r="B332" s="698"/>
      <c r="C332" s="26"/>
      <c r="D332" s="79"/>
      <c r="P332" s="332"/>
    </row>
    <row r="333" spans="1:16" x14ac:dyDescent="0.3">
      <c r="A333" s="5"/>
      <c r="B333" s="698"/>
      <c r="C333" s="26"/>
      <c r="D333" s="79"/>
      <c r="P333" s="332"/>
    </row>
    <row r="334" spans="1:16" x14ac:dyDescent="0.3">
      <c r="A334" s="5"/>
      <c r="B334" s="698"/>
      <c r="C334" s="26"/>
      <c r="D334" s="79"/>
      <c r="P334" s="332"/>
    </row>
    <row r="335" spans="1:16" x14ac:dyDescent="0.3">
      <c r="A335" s="5"/>
      <c r="B335" s="698"/>
      <c r="C335" s="26"/>
      <c r="D335" s="79"/>
      <c r="P335" s="332"/>
    </row>
    <row r="336" spans="1:16" x14ac:dyDescent="0.3">
      <c r="A336" s="5"/>
      <c r="B336" s="698"/>
      <c r="C336" s="26"/>
      <c r="D336" s="79"/>
      <c r="P336" s="332"/>
    </row>
    <row r="337" spans="1:16" x14ac:dyDescent="0.3">
      <c r="A337" s="5"/>
      <c r="B337" s="698"/>
      <c r="C337" s="26"/>
      <c r="D337" s="79"/>
      <c r="P337" s="332"/>
    </row>
    <row r="338" spans="1:16" x14ac:dyDescent="0.3">
      <c r="A338" s="5"/>
      <c r="B338" s="698"/>
      <c r="C338" s="26"/>
      <c r="D338" s="79"/>
      <c r="P338" s="332"/>
    </row>
    <row r="339" spans="1:16" x14ac:dyDescent="0.3">
      <c r="A339" s="5"/>
      <c r="B339" s="698"/>
      <c r="C339" s="26"/>
      <c r="D339" s="79"/>
      <c r="P339" s="332"/>
    </row>
    <row r="340" spans="1:16" x14ac:dyDescent="0.3">
      <c r="A340" s="5"/>
      <c r="B340" s="698"/>
      <c r="C340" s="26"/>
      <c r="D340" s="79"/>
      <c r="P340" s="332"/>
    </row>
    <row r="341" spans="1:16" x14ac:dyDescent="0.3">
      <c r="A341" s="5"/>
      <c r="B341" s="698"/>
      <c r="C341" s="26"/>
      <c r="D341" s="79"/>
      <c r="P341" s="332"/>
    </row>
    <row r="342" spans="1:16" x14ac:dyDescent="0.3">
      <c r="A342" s="5"/>
      <c r="B342" s="698"/>
      <c r="C342" s="26"/>
      <c r="D342" s="79"/>
      <c r="P342" s="332"/>
    </row>
    <row r="343" spans="1:16" x14ac:dyDescent="0.3">
      <c r="A343" s="5"/>
      <c r="B343" s="698"/>
      <c r="C343" s="26"/>
      <c r="D343" s="79"/>
      <c r="P343" s="332"/>
    </row>
    <row r="344" spans="1:16" x14ac:dyDescent="0.3">
      <c r="A344" s="5"/>
      <c r="B344" s="698"/>
      <c r="C344" s="26"/>
      <c r="D344" s="79"/>
      <c r="P344" s="332"/>
    </row>
    <row r="345" spans="1:16" x14ac:dyDescent="0.3">
      <c r="A345" s="5"/>
      <c r="B345" s="698"/>
      <c r="C345" s="26"/>
      <c r="D345" s="79"/>
      <c r="P345" s="332"/>
    </row>
    <row r="346" spans="1:16" x14ac:dyDescent="0.3">
      <c r="A346" s="5"/>
      <c r="B346" s="698"/>
      <c r="C346" s="26"/>
      <c r="D346" s="79"/>
      <c r="P346" s="332"/>
    </row>
    <row r="347" spans="1:16" x14ac:dyDescent="0.3">
      <c r="A347" s="5"/>
      <c r="B347" s="698"/>
      <c r="C347" s="26"/>
      <c r="D347" s="79"/>
      <c r="P347" s="332"/>
    </row>
    <row r="348" spans="1:16" x14ac:dyDescent="0.3">
      <c r="A348" s="5"/>
      <c r="B348" s="698"/>
      <c r="C348" s="26"/>
      <c r="D348" s="79"/>
      <c r="P348" s="332"/>
    </row>
    <row r="349" spans="1:16" x14ac:dyDescent="0.3">
      <c r="A349" s="5"/>
      <c r="B349" s="698"/>
      <c r="C349" s="26"/>
      <c r="D349" s="79"/>
      <c r="P349" s="332"/>
    </row>
    <row r="350" spans="1:16" x14ac:dyDescent="0.3">
      <c r="A350" s="5"/>
      <c r="B350" s="698"/>
      <c r="C350" s="26"/>
      <c r="D350" s="79"/>
      <c r="P350" s="332"/>
    </row>
    <row r="351" spans="1:16" x14ac:dyDescent="0.3">
      <c r="A351" s="5"/>
      <c r="B351" s="698"/>
      <c r="C351" s="26"/>
      <c r="D351" s="79"/>
      <c r="P351" s="332"/>
    </row>
    <row r="352" spans="1:16" x14ac:dyDescent="0.3">
      <c r="A352" s="5"/>
      <c r="B352" s="698"/>
      <c r="C352" s="26"/>
      <c r="D352" s="79"/>
      <c r="P352" s="332"/>
    </row>
    <row r="353" spans="1:16" x14ac:dyDescent="0.3">
      <c r="A353" s="5"/>
      <c r="B353" s="698"/>
      <c r="C353" s="26"/>
      <c r="D353" s="79"/>
      <c r="P353" s="332"/>
    </row>
    <row r="354" spans="1:16" x14ac:dyDescent="0.3">
      <c r="A354" s="5"/>
      <c r="B354" s="698"/>
      <c r="C354" s="26"/>
      <c r="D354" s="79"/>
      <c r="P354" s="332"/>
    </row>
    <row r="355" spans="1:16" x14ac:dyDescent="0.3">
      <c r="A355" s="5"/>
      <c r="B355" s="698"/>
      <c r="C355" s="26"/>
      <c r="D355" s="79"/>
      <c r="P355" s="332"/>
    </row>
    <row r="356" spans="1:16" x14ac:dyDescent="0.3">
      <c r="A356" s="5"/>
      <c r="B356" s="698"/>
      <c r="C356" s="26"/>
      <c r="D356" s="79"/>
      <c r="P356" s="332"/>
    </row>
    <row r="357" spans="1:16" x14ac:dyDescent="0.3">
      <c r="A357" s="5"/>
      <c r="B357" s="698"/>
      <c r="C357" s="26"/>
      <c r="D357" s="79"/>
      <c r="P357" s="332"/>
    </row>
    <row r="358" spans="1:16" x14ac:dyDescent="0.3">
      <c r="A358" s="5"/>
      <c r="B358" s="698"/>
      <c r="C358" s="26"/>
      <c r="D358" s="79"/>
      <c r="P358" s="332"/>
    </row>
    <row r="359" spans="1:16" x14ac:dyDescent="0.3">
      <c r="A359" s="5"/>
      <c r="B359" s="698"/>
      <c r="C359" s="26"/>
      <c r="D359" s="79"/>
      <c r="P359" s="332"/>
    </row>
    <row r="360" spans="1:16" x14ac:dyDescent="0.3">
      <c r="A360" s="5"/>
      <c r="B360" s="698"/>
      <c r="C360" s="26"/>
      <c r="D360" s="79"/>
      <c r="P360" s="332"/>
    </row>
    <row r="361" spans="1:16" x14ac:dyDescent="0.3">
      <c r="A361" s="5"/>
      <c r="B361" s="698"/>
      <c r="C361" s="26"/>
      <c r="D361" s="79"/>
      <c r="P361" s="332"/>
    </row>
    <row r="362" spans="1:16" x14ac:dyDescent="0.3">
      <c r="A362" s="5"/>
      <c r="B362" s="698"/>
      <c r="C362" s="26"/>
      <c r="D362" s="79"/>
      <c r="P362" s="332"/>
    </row>
    <row r="363" spans="1:16" x14ac:dyDescent="0.3">
      <c r="A363" s="5"/>
      <c r="B363" s="698"/>
      <c r="C363" s="26"/>
      <c r="D363" s="79"/>
      <c r="P363" s="332"/>
    </row>
    <row r="364" spans="1:16" x14ac:dyDescent="0.3">
      <c r="A364" s="5"/>
      <c r="B364" s="698"/>
      <c r="C364" s="26"/>
      <c r="D364" s="79"/>
      <c r="P364" s="332"/>
    </row>
    <row r="365" spans="1:16" x14ac:dyDescent="0.3">
      <c r="A365" s="5"/>
      <c r="B365" s="698"/>
      <c r="C365" s="26"/>
      <c r="D365" s="79"/>
      <c r="P365" s="332"/>
    </row>
    <row r="366" spans="1:16" x14ac:dyDescent="0.3">
      <c r="A366" s="5"/>
      <c r="B366" s="698"/>
      <c r="C366" s="26"/>
      <c r="D366" s="79"/>
      <c r="P366" s="332"/>
    </row>
    <row r="367" spans="1:16" x14ac:dyDescent="0.3">
      <c r="A367" s="5"/>
      <c r="B367" s="698"/>
      <c r="C367" s="26"/>
      <c r="D367" s="79"/>
      <c r="P367" s="332"/>
    </row>
    <row r="368" spans="1:16" x14ac:dyDescent="0.3">
      <c r="A368" s="5"/>
      <c r="B368" s="698"/>
      <c r="C368" s="26"/>
      <c r="D368" s="79"/>
      <c r="P368" s="332"/>
    </row>
    <row r="369" spans="1:16" x14ac:dyDescent="0.3">
      <c r="A369" s="5"/>
      <c r="B369" s="698"/>
      <c r="C369" s="26"/>
      <c r="D369" s="79"/>
      <c r="P369" s="332"/>
    </row>
    <row r="370" spans="1:16" x14ac:dyDescent="0.3">
      <c r="A370" s="5"/>
      <c r="B370" s="698"/>
      <c r="C370" s="26"/>
      <c r="D370" s="79"/>
      <c r="P370" s="332"/>
    </row>
    <row r="371" spans="1:16" x14ac:dyDescent="0.3">
      <c r="A371" s="5"/>
      <c r="B371" s="698"/>
      <c r="C371" s="26"/>
      <c r="D371" s="79"/>
      <c r="P371" s="332"/>
    </row>
    <row r="372" spans="1:16" x14ac:dyDescent="0.3">
      <c r="A372" s="5"/>
      <c r="B372" s="698"/>
      <c r="C372" s="26"/>
      <c r="D372" s="79"/>
      <c r="P372" s="332"/>
    </row>
    <row r="373" spans="1:16" x14ac:dyDescent="0.3">
      <c r="A373" s="5"/>
      <c r="B373" s="698"/>
      <c r="C373" s="26"/>
      <c r="D373" s="79"/>
      <c r="P373" s="332"/>
    </row>
    <row r="374" spans="1:16" x14ac:dyDescent="0.3">
      <c r="A374" s="5"/>
      <c r="B374" s="698"/>
      <c r="C374" s="26"/>
      <c r="D374" s="79"/>
      <c r="P374" s="332"/>
    </row>
    <row r="375" spans="1:16" x14ac:dyDescent="0.3">
      <c r="A375" s="5"/>
      <c r="B375" s="698"/>
      <c r="C375" s="26"/>
      <c r="D375" s="79"/>
      <c r="P375" s="332"/>
    </row>
    <row r="376" spans="1:16" x14ac:dyDescent="0.3">
      <c r="A376" s="5"/>
      <c r="B376" s="698"/>
      <c r="C376" s="26"/>
      <c r="D376" s="79"/>
      <c r="P376" s="332"/>
    </row>
    <row r="377" spans="1:16" x14ac:dyDescent="0.3">
      <c r="A377" s="5"/>
      <c r="B377" s="698"/>
      <c r="C377" s="26"/>
      <c r="D377" s="79"/>
      <c r="P377" s="332"/>
    </row>
    <row r="378" spans="1:16" x14ac:dyDescent="0.3">
      <c r="A378" s="5"/>
      <c r="B378" s="698"/>
      <c r="C378" s="26"/>
      <c r="D378" s="79"/>
      <c r="P378" s="332"/>
    </row>
    <row r="379" spans="1:16" x14ac:dyDescent="0.3">
      <c r="A379" s="5"/>
      <c r="B379" s="698"/>
      <c r="C379" s="26"/>
      <c r="D379" s="79"/>
      <c r="P379" s="332"/>
    </row>
    <row r="380" spans="1:16" x14ac:dyDescent="0.3">
      <c r="A380" s="5"/>
      <c r="B380" s="698"/>
      <c r="C380" s="26"/>
      <c r="D380" s="79"/>
      <c r="P380" s="332"/>
    </row>
    <row r="381" spans="1:16" x14ac:dyDescent="0.3">
      <c r="A381" s="5"/>
      <c r="B381" s="698"/>
      <c r="C381" s="26"/>
      <c r="D381" s="79"/>
      <c r="P381" s="332"/>
    </row>
    <row r="382" spans="1:16" x14ac:dyDescent="0.3">
      <c r="A382" s="5"/>
      <c r="B382" s="698"/>
      <c r="C382" s="26"/>
      <c r="D382" s="79"/>
      <c r="P382" s="332"/>
    </row>
    <row r="383" spans="1:16" x14ac:dyDescent="0.3">
      <c r="A383" s="5"/>
      <c r="B383" s="698"/>
      <c r="C383" s="26"/>
      <c r="D383" s="79"/>
      <c r="P383" s="332"/>
    </row>
    <row r="384" spans="1:16" x14ac:dyDescent="0.3">
      <c r="A384" s="5"/>
      <c r="B384" s="698"/>
      <c r="C384" s="26"/>
      <c r="D384" s="79"/>
      <c r="P384" s="332"/>
    </row>
    <row r="385" spans="1:16" x14ac:dyDescent="0.3">
      <c r="A385" s="5"/>
      <c r="B385" s="698"/>
      <c r="C385" s="26"/>
      <c r="D385" s="79"/>
      <c r="P385" s="332"/>
    </row>
    <row r="386" spans="1:16" x14ac:dyDescent="0.3">
      <c r="A386" s="5"/>
      <c r="B386" s="698"/>
      <c r="C386" s="26"/>
      <c r="D386" s="79"/>
      <c r="P386" s="332"/>
    </row>
    <row r="387" spans="1:16" x14ac:dyDescent="0.3">
      <c r="A387" s="5"/>
      <c r="B387" s="698"/>
      <c r="C387" s="26"/>
      <c r="D387" s="79"/>
      <c r="P387" s="332"/>
    </row>
    <row r="388" spans="1:16" x14ac:dyDescent="0.3">
      <c r="A388" s="5"/>
      <c r="B388" s="698"/>
      <c r="C388" s="26"/>
      <c r="D388" s="79"/>
      <c r="P388" s="332"/>
    </row>
    <row r="389" spans="1:16" x14ac:dyDescent="0.3">
      <c r="A389" s="5"/>
      <c r="B389" s="698"/>
      <c r="C389" s="26"/>
      <c r="D389" s="79"/>
      <c r="P389" s="332"/>
    </row>
    <row r="390" spans="1:16" x14ac:dyDescent="0.3">
      <c r="A390" s="5"/>
      <c r="B390" s="698"/>
      <c r="C390" s="26"/>
      <c r="D390" s="79"/>
      <c r="P390" s="332"/>
    </row>
    <row r="391" spans="1:16" x14ac:dyDescent="0.3">
      <c r="A391" s="5"/>
      <c r="B391" s="698"/>
      <c r="C391" s="26"/>
      <c r="D391" s="79"/>
      <c r="P391" s="332"/>
    </row>
    <row r="392" spans="1:16" x14ac:dyDescent="0.3">
      <c r="A392" s="5"/>
      <c r="B392" s="698"/>
      <c r="C392" s="26"/>
      <c r="D392" s="79"/>
      <c r="P392" s="332"/>
    </row>
    <row r="393" spans="1:16" x14ac:dyDescent="0.3">
      <c r="A393" s="5"/>
      <c r="B393" s="698"/>
      <c r="C393" s="26"/>
      <c r="D393" s="79"/>
      <c r="P393" s="332"/>
    </row>
    <row r="394" spans="1:16" x14ac:dyDescent="0.3">
      <c r="A394" s="5"/>
      <c r="B394" s="698"/>
      <c r="C394" s="26"/>
      <c r="D394" s="79"/>
      <c r="P394" s="332"/>
    </row>
    <row r="395" spans="1:16" x14ac:dyDescent="0.3">
      <c r="A395" s="5"/>
      <c r="B395" s="698"/>
      <c r="C395" s="26"/>
      <c r="D395" s="79"/>
      <c r="P395" s="332"/>
    </row>
    <row r="396" spans="1:16" x14ac:dyDescent="0.3">
      <c r="A396" s="5"/>
      <c r="B396" s="698"/>
      <c r="C396" s="26"/>
      <c r="D396" s="79"/>
      <c r="P396" s="332"/>
    </row>
    <row r="397" spans="1:16" x14ac:dyDescent="0.3">
      <c r="A397" s="5"/>
      <c r="B397" s="698"/>
      <c r="C397" s="26"/>
      <c r="D397" s="79"/>
      <c r="P397" s="332"/>
    </row>
    <row r="398" spans="1:16" x14ac:dyDescent="0.3">
      <c r="A398" s="5"/>
      <c r="B398" s="698"/>
      <c r="C398" s="26"/>
      <c r="D398" s="79"/>
      <c r="P398" s="332"/>
    </row>
    <row r="399" spans="1:16" x14ac:dyDescent="0.3">
      <c r="A399" s="5"/>
      <c r="B399" s="698"/>
      <c r="C399" s="26"/>
      <c r="D399" s="79"/>
      <c r="P399" s="332"/>
    </row>
    <row r="400" spans="1:16" x14ac:dyDescent="0.3">
      <c r="A400" s="5"/>
      <c r="B400" s="698"/>
      <c r="C400" s="26"/>
      <c r="D400" s="79"/>
      <c r="P400" s="332"/>
    </row>
    <row r="401" spans="1:16" x14ac:dyDescent="0.3">
      <c r="A401" s="5"/>
      <c r="B401" s="698"/>
      <c r="C401" s="26"/>
      <c r="D401" s="79"/>
      <c r="P401" s="332"/>
    </row>
    <row r="402" spans="1:16" x14ac:dyDescent="0.3">
      <c r="A402" s="5"/>
      <c r="B402" s="698"/>
      <c r="C402" s="26"/>
      <c r="D402" s="79"/>
      <c r="P402" s="332"/>
    </row>
    <row r="403" spans="1:16" x14ac:dyDescent="0.3">
      <c r="A403" s="5"/>
      <c r="B403" s="698"/>
      <c r="C403" s="26"/>
      <c r="D403" s="79"/>
      <c r="P403" s="332"/>
    </row>
    <row r="404" spans="1:16" x14ac:dyDescent="0.3">
      <c r="A404" s="5"/>
      <c r="B404" s="698"/>
      <c r="C404" s="26"/>
      <c r="D404" s="79"/>
      <c r="P404" s="332"/>
    </row>
    <row r="405" spans="1:16" x14ac:dyDescent="0.3">
      <c r="A405" s="5"/>
      <c r="B405" s="698"/>
      <c r="C405" s="26"/>
      <c r="D405" s="79"/>
      <c r="P405" s="332"/>
    </row>
    <row r="406" spans="1:16" x14ac:dyDescent="0.3">
      <c r="A406" s="5"/>
      <c r="B406" s="698"/>
      <c r="C406" s="26"/>
      <c r="D406" s="79"/>
      <c r="P406" s="332"/>
    </row>
    <row r="407" spans="1:16" x14ac:dyDescent="0.3">
      <c r="A407" s="5"/>
      <c r="B407" s="698"/>
      <c r="C407" s="26"/>
      <c r="D407" s="79"/>
      <c r="P407" s="332"/>
    </row>
    <row r="408" spans="1:16" x14ac:dyDescent="0.3">
      <c r="A408" s="5"/>
      <c r="B408" s="698"/>
      <c r="C408" s="26"/>
      <c r="D408" s="79"/>
      <c r="P408" s="332"/>
    </row>
    <row r="409" spans="1:16" x14ac:dyDescent="0.3">
      <c r="A409" s="5"/>
      <c r="B409" s="698"/>
      <c r="C409" s="26"/>
      <c r="D409" s="79"/>
      <c r="P409" s="332"/>
    </row>
    <row r="410" spans="1:16" x14ac:dyDescent="0.3">
      <c r="A410" s="5"/>
      <c r="B410" s="698"/>
      <c r="C410" s="26"/>
      <c r="D410" s="79"/>
      <c r="P410" s="332"/>
    </row>
    <row r="411" spans="1:16" x14ac:dyDescent="0.3">
      <c r="A411" s="5"/>
      <c r="B411" s="698"/>
      <c r="C411" s="26"/>
      <c r="D411" s="79"/>
      <c r="P411" s="332"/>
    </row>
    <row r="412" spans="1:16" x14ac:dyDescent="0.3">
      <c r="A412" s="5"/>
      <c r="B412" s="698"/>
      <c r="C412" s="26"/>
      <c r="D412" s="79"/>
      <c r="P412" s="332"/>
    </row>
    <row r="413" spans="1:16" x14ac:dyDescent="0.3">
      <c r="A413" s="5"/>
      <c r="B413" s="698"/>
      <c r="C413" s="26"/>
      <c r="D413" s="79"/>
      <c r="P413" s="332"/>
    </row>
    <row r="414" spans="1:16" x14ac:dyDescent="0.3">
      <c r="A414" s="5"/>
      <c r="B414" s="698"/>
      <c r="C414" s="26"/>
      <c r="D414" s="79"/>
      <c r="P414" s="332"/>
    </row>
    <row r="415" spans="1:16" x14ac:dyDescent="0.3">
      <c r="A415" s="5"/>
      <c r="B415" s="698"/>
      <c r="C415" s="26"/>
      <c r="D415" s="79"/>
      <c r="P415" s="332"/>
    </row>
    <row r="416" spans="1:16" x14ac:dyDescent="0.3">
      <c r="A416" s="5"/>
      <c r="B416" s="698"/>
      <c r="C416" s="26"/>
      <c r="D416" s="79"/>
      <c r="P416" s="332"/>
    </row>
    <row r="417" spans="1:16" x14ac:dyDescent="0.3">
      <c r="A417" s="5"/>
      <c r="B417" s="698"/>
      <c r="C417" s="26"/>
      <c r="D417" s="79"/>
      <c r="P417" s="332"/>
    </row>
    <row r="418" spans="1:16" x14ac:dyDescent="0.3">
      <c r="A418" s="5"/>
      <c r="B418" s="698"/>
      <c r="C418" s="26"/>
      <c r="D418" s="79"/>
      <c r="P418" s="332"/>
    </row>
    <row r="419" spans="1:16" x14ac:dyDescent="0.3">
      <c r="A419" s="5"/>
      <c r="B419" s="698"/>
      <c r="C419" s="26"/>
      <c r="D419" s="79"/>
      <c r="P419" s="332"/>
    </row>
    <row r="420" spans="1:16" x14ac:dyDescent="0.3">
      <c r="A420" s="5"/>
      <c r="B420" s="698"/>
      <c r="C420" s="26"/>
      <c r="D420" s="79"/>
      <c r="P420" s="332"/>
    </row>
    <row r="421" spans="1:16" x14ac:dyDescent="0.3">
      <c r="A421" s="5"/>
      <c r="B421" s="698"/>
      <c r="C421" s="26"/>
      <c r="D421" s="79"/>
      <c r="P421" s="332"/>
    </row>
    <row r="422" spans="1:16" x14ac:dyDescent="0.3">
      <c r="A422" s="5"/>
      <c r="B422" s="698"/>
      <c r="C422" s="26"/>
      <c r="D422" s="79"/>
      <c r="P422" s="332"/>
    </row>
    <row r="423" spans="1:16" x14ac:dyDescent="0.3">
      <c r="A423" s="5"/>
      <c r="B423" s="698"/>
      <c r="C423" s="26"/>
      <c r="D423" s="79"/>
      <c r="P423" s="332"/>
    </row>
    <row r="424" spans="1:16" x14ac:dyDescent="0.3">
      <c r="A424" s="5"/>
      <c r="B424" s="698"/>
      <c r="C424" s="26"/>
      <c r="D424" s="79"/>
      <c r="P424" s="332"/>
    </row>
    <row r="425" spans="1:16" x14ac:dyDescent="0.3">
      <c r="A425" s="5"/>
      <c r="B425" s="698"/>
      <c r="C425" s="26"/>
      <c r="D425" s="79"/>
      <c r="P425" s="332"/>
    </row>
    <row r="426" spans="1:16" x14ac:dyDescent="0.3">
      <c r="A426" s="5"/>
      <c r="B426" s="698"/>
      <c r="C426" s="26"/>
      <c r="D426" s="79"/>
      <c r="P426" s="332"/>
    </row>
    <row r="427" spans="1:16" x14ac:dyDescent="0.3">
      <c r="A427" s="5"/>
      <c r="B427" s="698"/>
      <c r="C427" s="26"/>
      <c r="D427" s="79"/>
      <c r="P427" s="332"/>
    </row>
    <row r="428" spans="1:16" x14ac:dyDescent="0.3">
      <c r="A428" s="5"/>
      <c r="B428" s="698"/>
      <c r="C428" s="26"/>
      <c r="D428" s="79"/>
      <c r="P428" s="332"/>
    </row>
    <row r="429" spans="1:16" x14ac:dyDescent="0.3">
      <c r="A429" s="5"/>
      <c r="B429" s="698"/>
      <c r="C429" s="26"/>
      <c r="D429" s="79"/>
    </row>
    <row r="430" spans="1:16" x14ac:dyDescent="0.3">
      <c r="A430" s="5"/>
      <c r="B430" s="698"/>
      <c r="C430" s="26"/>
      <c r="D430" s="79"/>
      <c r="P430" s="332"/>
    </row>
    <row r="431" spans="1:16" x14ac:dyDescent="0.3">
      <c r="A431" s="5"/>
      <c r="B431" s="698"/>
      <c r="C431" s="26"/>
      <c r="D431" s="79"/>
    </row>
    <row r="432" spans="1:16" x14ac:dyDescent="0.3">
      <c r="A432" s="5"/>
      <c r="B432" s="698"/>
      <c r="C432" s="26"/>
      <c r="D432" s="79"/>
    </row>
    <row r="433" spans="1:4" x14ac:dyDescent="0.3">
      <c r="A433" s="5"/>
      <c r="B433" s="698"/>
      <c r="C433" s="26"/>
      <c r="D433" s="79"/>
    </row>
    <row r="434" spans="1:4" x14ac:dyDescent="0.3">
      <c r="A434" s="5"/>
      <c r="B434" s="698"/>
      <c r="C434" s="26"/>
      <c r="D434" s="79"/>
    </row>
    <row r="435" spans="1:4" x14ac:dyDescent="0.3">
      <c r="A435" s="5"/>
      <c r="B435" s="698"/>
      <c r="C435" s="26"/>
      <c r="D435" s="79"/>
    </row>
    <row r="436" spans="1:4" x14ac:dyDescent="0.3">
      <c r="A436" s="5"/>
      <c r="B436" s="698"/>
      <c r="C436" s="26"/>
      <c r="D436" s="79"/>
    </row>
    <row r="437" spans="1:4" x14ac:dyDescent="0.3">
      <c r="A437" s="5"/>
      <c r="B437" s="698"/>
      <c r="C437" s="26"/>
      <c r="D437" s="79"/>
    </row>
    <row r="438" spans="1:4" x14ac:dyDescent="0.3">
      <c r="A438" s="5"/>
      <c r="B438" s="698"/>
      <c r="C438" s="26"/>
      <c r="D438" s="79"/>
    </row>
    <row r="439" spans="1:4" x14ac:dyDescent="0.3">
      <c r="A439" s="5"/>
      <c r="B439" s="698"/>
      <c r="C439" s="26"/>
      <c r="D439" s="79"/>
    </row>
    <row r="440" spans="1:4" x14ac:dyDescent="0.3">
      <c r="A440" s="5"/>
      <c r="B440" s="698"/>
      <c r="C440" s="26"/>
      <c r="D440" s="79"/>
    </row>
    <row r="441" spans="1:4" x14ac:dyDescent="0.3">
      <c r="A441" s="5"/>
      <c r="B441" s="698"/>
      <c r="C441" s="26"/>
      <c r="D441" s="79"/>
    </row>
    <row r="442" spans="1:4" x14ac:dyDescent="0.3">
      <c r="A442" s="5"/>
      <c r="B442" s="698"/>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86" priority="93" stopIfTrue="1" operator="notEqual">
      <formula>0</formula>
    </cfRule>
  </conditionalFormatting>
  <conditionalFormatting sqref="G34">
    <cfRule type="cellIs" dxfId="85" priority="92" stopIfTrue="1" operator="notEqual">
      <formula>0</formula>
    </cfRule>
  </conditionalFormatting>
  <conditionalFormatting sqref="G65">
    <cfRule type="cellIs" dxfId="84" priority="91" stopIfTrue="1" operator="notEqual">
      <formula>0</formula>
    </cfRule>
  </conditionalFormatting>
  <conditionalFormatting sqref="G79">
    <cfRule type="cellIs" dxfId="83" priority="90" stopIfTrue="1" operator="notEqual">
      <formula>0</formula>
    </cfRule>
  </conditionalFormatting>
  <conditionalFormatting sqref="G80:G90">
    <cfRule type="cellIs" dxfId="82" priority="89" stopIfTrue="1" operator="notEqual">
      <formula>0</formula>
    </cfRule>
  </conditionalFormatting>
  <conditionalFormatting sqref="G133">
    <cfRule type="cellIs" dxfId="81" priority="88" stopIfTrue="1" operator="notEqual">
      <formula>0</formula>
    </cfRule>
  </conditionalFormatting>
  <conditionalFormatting sqref="G151">
    <cfRule type="cellIs" dxfId="80" priority="87" stopIfTrue="1" operator="notEqual">
      <formula>0</formula>
    </cfRule>
  </conditionalFormatting>
  <conditionalFormatting sqref="G163">
    <cfRule type="cellIs" dxfId="79" priority="86" stopIfTrue="1" operator="notEqual">
      <formula>0</formula>
    </cfRule>
  </conditionalFormatting>
  <conditionalFormatting sqref="G164">
    <cfRule type="cellIs" dxfId="78" priority="85" stopIfTrue="1" operator="notEqual">
      <formula>0</formula>
    </cfRule>
  </conditionalFormatting>
  <conditionalFormatting sqref="G178">
    <cfRule type="cellIs" dxfId="77" priority="84" stopIfTrue="1" operator="notEqual">
      <formula>0</formula>
    </cfRule>
  </conditionalFormatting>
  <conditionalFormatting sqref="G179">
    <cfRule type="cellIs" dxfId="76" priority="83" stopIfTrue="1" operator="notEqual">
      <formula>0</formula>
    </cfRule>
  </conditionalFormatting>
  <conditionalFormatting sqref="H237:H239">
    <cfRule type="cellIs" priority="79" stopIfTrue="1" operator="equal">
      <formula>";;;"</formula>
    </cfRule>
  </conditionalFormatting>
  <conditionalFormatting sqref="H237">
    <cfRule type="cellIs" dxfId="75" priority="78" stopIfTrue="1" operator="equal">
      <formula>0</formula>
    </cfRule>
  </conditionalFormatting>
  <conditionalFormatting sqref="H238">
    <cfRule type="cellIs" dxfId="74" priority="77" stopIfTrue="1" operator="equal">
      <formula>0</formula>
    </cfRule>
  </conditionalFormatting>
  <conditionalFormatting sqref="H239">
    <cfRule type="cellIs" dxfId="73" priority="76" stopIfTrue="1" operator="equal">
      <formula>0</formula>
    </cfRule>
  </conditionalFormatting>
  <conditionalFormatting sqref="H239">
    <cfRule type="cellIs" dxfId="72" priority="75" stopIfTrue="1" operator="equal">
      <formula>0</formula>
    </cfRule>
  </conditionalFormatting>
  <conditionalFormatting sqref="H237">
    <cfRule type="cellIs" dxfId="71" priority="74" stopIfTrue="1" operator="equal">
      <formula>0</formula>
    </cfRule>
  </conditionalFormatting>
  <conditionalFormatting sqref="G21">
    <cfRule type="cellIs" dxfId="70" priority="73" stopIfTrue="1" operator="notEqual">
      <formula>0</formula>
    </cfRule>
  </conditionalFormatting>
  <conditionalFormatting sqref="G7">
    <cfRule type="containsText" dxfId="69" priority="71" stopIfTrue="1" operator="containsText" text="Included in error count">
      <formula>NOT(ISERROR(SEARCH("Included in error count",G7)))</formula>
    </cfRule>
    <cfRule type="cellIs" dxfId="68" priority="72" stopIfTrue="1" operator="equal">
      <formula>1</formula>
    </cfRule>
  </conditionalFormatting>
  <conditionalFormatting sqref="G55">
    <cfRule type="containsText" dxfId="67" priority="69" stopIfTrue="1" operator="containsText" text="Included in error count">
      <formula>NOT(ISERROR(SEARCH("Included in error count",G55)))</formula>
    </cfRule>
    <cfRule type="cellIs" dxfId="66" priority="70" stopIfTrue="1" operator="equal">
      <formula>1</formula>
    </cfRule>
  </conditionalFormatting>
  <conditionalFormatting sqref="G120:G121">
    <cfRule type="containsText" dxfId="65" priority="67" stopIfTrue="1" operator="containsText" text="Included in error count">
      <formula>NOT(ISERROR(SEARCH("Included in error count",G120)))</formula>
    </cfRule>
    <cfRule type="cellIs" dxfId="64" priority="68" stopIfTrue="1" operator="equal">
      <formula>1</formula>
    </cfRule>
  </conditionalFormatting>
  <conditionalFormatting sqref="G122">
    <cfRule type="containsText" dxfId="63" priority="65" stopIfTrue="1" operator="containsText" text="Included in error count">
      <formula>NOT(ISERROR(SEARCH("Included in error count",G122)))</formula>
    </cfRule>
    <cfRule type="cellIs" dxfId="62" priority="66" stopIfTrue="1" operator="equal">
      <formula>1</formula>
    </cfRule>
  </conditionalFormatting>
  <conditionalFormatting sqref="G131">
    <cfRule type="containsText" dxfId="61" priority="61" stopIfTrue="1" operator="containsText" text="Included in error count">
      <formula>NOT(ISERROR(SEARCH("Included in error count",G131)))</formula>
    </cfRule>
    <cfRule type="cellIs" dxfId="60" priority="62" stopIfTrue="1" operator="equal">
      <formula>1</formula>
    </cfRule>
  </conditionalFormatting>
  <conditionalFormatting sqref="G153">
    <cfRule type="containsText" dxfId="59" priority="57" stopIfTrue="1" operator="containsText" text="Included in error count">
      <formula>NOT(ISERROR(SEARCH("Included in error count",G153)))</formula>
    </cfRule>
    <cfRule type="cellIs" dxfId="58" priority="58" stopIfTrue="1" operator="equal">
      <formula>1</formula>
    </cfRule>
  </conditionalFormatting>
  <conditionalFormatting sqref="G237">
    <cfRule type="containsText" dxfId="57" priority="46" stopIfTrue="1" operator="containsText" text="Included in error count">
      <formula>NOT(ISERROR(SEARCH("Included in error count",G237)))</formula>
    </cfRule>
    <cfRule type="cellIs" dxfId="56" priority="47" stopIfTrue="1" operator="equal">
      <formula>1</formula>
    </cfRule>
  </conditionalFormatting>
  <conditionalFormatting sqref="G238">
    <cfRule type="containsText" dxfId="55" priority="44" stopIfTrue="1" operator="containsText" text="Included in error count">
      <formula>NOT(ISERROR(SEARCH("Included in error count",G238)))</formula>
    </cfRule>
    <cfRule type="cellIs" dxfId="54" priority="45" stopIfTrue="1" operator="equal">
      <formula>1</formula>
    </cfRule>
  </conditionalFormatting>
  <conditionalFormatting sqref="G239">
    <cfRule type="containsText" dxfId="53" priority="42" stopIfTrue="1" operator="containsText" text="Included in error count">
      <formula>NOT(ISERROR(SEARCH("Included in error count",G239)))</formula>
    </cfRule>
    <cfRule type="cellIs" dxfId="52" priority="43" stopIfTrue="1" operator="equal">
      <formula>1</formula>
    </cfRule>
  </conditionalFormatting>
  <conditionalFormatting sqref="G168">
    <cfRule type="containsText" dxfId="51" priority="40" stopIfTrue="1" operator="containsText" text="Included in error count">
      <formula>NOT(ISERROR(SEARCH("Included in error count",G168)))</formula>
    </cfRule>
    <cfRule type="cellIs" dxfId="5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F9" sqref="F9"/>
    </sheetView>
  </sheetViews>
  <sheetFormatPr defaultColWidth="9.109375" defaultRowHeight="14.4" x14ac:dyDescent="0.3"/>
  <cols>
    <col min="1" max="1" width="44.5546875" style="998" customWidth="1"/>
    <col min="2" max="2" width="17.109375" style="998" customWidth="1"/>
    <col min="3" max="3" width="19" style="998" customWidth="1"/>
    <col min="4" max="4" width="19.109375" style="998" customWidth="1"/>
    <col min="5" max="5" width="15.109375" style="998" customWidth="1"/>
    <col min="6" max="6" width="12.88671875" style="998" customWidth="1"/>
    <col min="7" max="7" width="43.88671875" style="1084" hidden="1" customWidth="1"/>
    <col min="8" max="8" width="77.5546875" style="998" customWidth="1"/>
    <col min="9" max="9" width="91" style="999" customWidth="1"/>
    <col min="10" max="10" width="46.109375" style="999" customWidth="1"/>
    <col min="11" max="11" width="9.109375" style="999" hidden="1" customWidth="1"/>
    <col min="12" max="12" width="36.88671875" style="269" hidden="1" customWidth="1"/>
    <col min="13" max="14" width="15.6640625" style="269" hidden="1" customWidth="1"/>
    <col min="15" max="15" width="56.33203125" style="269" customWidth="1"/>
    <col min="16" max="16" width="11.109375" style="997" customWidth="1"/>
    <col min="17" max="18" width="9.109375" style="998" customWidth="1"/>
    <col min="19" max="16384" width="9.109375" style="998"/>
  </cols>
  <sheetData>
    <row r="1" spans="1:78" ht="40.5" customHeight="1" thickBot="1" x14ac:dyDescent="0.35">
      <c r="A1" s="1336" t="s">
        <v>1759</v>
      </c>
      <c r="B1" s="1337"/>
      <c r="C1" s="1337"/>
      <c r="D1" s="1337"/>
      <c r="E1" s="1337"/>
      <c r="F1" s="1337"/>
      <c r="G1" s="1337"/>
      <c r="H1" s="1338"/>
      <c r="I1" s="1376" t="s">
        <v>1798</v>
      </c>
      <c r="J1" s="1377"/>
      <c r="K1" s="1071"/>
    </row>
    <row r="2" spans="1:78" ht="72" customHeight="1" thickBot="1" x14ac:dyDescent="0.35">
      <c r="A2" s="1339" t="s">
        <v>1760</v>
      </c>
      <c r="B2" s="1340"/>
      <c r="C2" s="1340"/>
      <c r="D2" s="1340"/>
      <c r="E2" s="1340"/>
      <c r="F2" s="1340"/>
      <c r="G2" s="1340"/>
      <c r="H2" s="1341"/>
      <c r="I2" s="1378" t="s">
        <v>1797</v>
      </c>
      <c r="J2" s="1382" t="s">
        <v>1488</v>
      </c>
      <c r="K2" s="1099"/>
    </row>
    <row r="3" spans="1:78" ht="15" customHeight="1" x14ac:dyDescent="0.3">
      <c r="A3" s="1240" t="s">
        <v>1135</v>
      </c>
      <c r="B3" s="1062"/>
      <c r="C3" s="1062"/>
      <c r="D3" s="1062"/>
      <c r="E3" s="1241"/>
      <c r="F3" s="1241"/>
      <c r="G3" s="1342"/>
      <c r="H3" s="1343"/>
      <c r="I3" s="1379"/>
      <c r="J3" s="1383"/>
      <c r="K3" s="1099"/>
    </row>
    <row r="4" spans="1:78" ht="21.75" customHeight="1" x14ac:dyDescent="0.3">
      <c r="A4" s="1000" t="s">
        <v>1226</v>
      </c>
      <c r="B4" s="1344" t="str">
        <f>'Unit Data from Audit Worksheet'!D2</f>
        <v>Select Unit Name from Drop Down List</v>
      </c>
      <c r="C4" s="1344"/>
      <c r="D4" s="1344"/>
      <c r="E4" s="1345" t="s">
        <v>1761</v>
      </c>
      <c r="F4" s="1346"/>
      <c r="G4" s="1001"/>
      <c r="H4" s="1347" t="s">
        <v>1138</v>
      </c>
      <c r="I4" s="1380"/>
      <c r="J4" s="1383"/>
      <c r="K4" s="1100"/>
      <c r="L4" s="1002"/>
    </row>
    <row r="5" spans="1:78" ht="21.6" thickBot="1" x14ac:dyDescent="0.35">
      <c r="A5" s="1003" t="s">
        <v>1137</v>
      </c>
      <c r="B5" s="1349" t="e">
        <f>'Unit Data from Audit Worksheet'!D3</f>
        <v>#N/A</v>
      </c>
      <c r="C5" s="1349"/>
      <c r="D5" s="1349"/>
      <c r="E5" s="1345"/>
      <c r="F5" s="1346"/>
      <c r="G5" s="1004"/>
      <c r="H5" s="1348"/>
      <c r="I5" s="1381"/>
      <c r="J5" s="1384"/>
      <c r="K5" s="996"/>
      <c r="L5" s="169" t="s">
        <v>1185</v>
      </c>
    </row>
    <row r="6" spans="1:78" ht="185.1" customHeight="1" thickBot="1" x14ac:dyDescent="0.35">
      <c r="A6" s="1353"/>
      <c r="B6" s="1354"/>
      <c r="C6" s="1354"/>
      <c r="D6" s="1354"/>
      <c r="E6" s="1354"/>
      <c r="F6" s="1355"/>
      <c r="G6" s="1066"/>
      <c r="H6" s="1359" t="s">
        <v>1762</v>
      </c>
      <c r="I6" s="1088"/>
      <c r="J6" s="1385"/>
      <c r="K6" s="996"/>
      <c r="L6" s="1005"/>
    </row>
    <row r="7" spans="1:78" ht="132" customHeight="1" thickBot="1" x14ac:dyDescent="0.35">
      <c r="A7" s="1356"/>
      <c r="B7" s="1357"/>
      <c r="C7" s="1357"/>
      <c r="D7" s="1357"/>
      <c r="E7" s="1357"/>
      <c r="F7" s="1358"/>
      <c r="G7" s="1066"/>
      <c r="H7" s="1360"/>
      <c r="I7" s="1006"/>
      <c r="J7" s="1386"/>
      <c r="K7" s="996"/>
      <c r="L7" s="1005">
        <f>+(Import!$L$72+Import!$L$77+Import!$L$74-Import!$L$75-Import!$L$76)</f>
        <v>0</v>
      </c>
    </row>
    <row r="8" spans="1:78" ht="27.75" customHeight="1" thickBot="1" x14ac:dyDescent="0.35">
      <c r="A8" s="1362" t="s">
        <v>1763</v>
      </c>
      <c r="B8" s="1362"/>
      <c r="C8" s="1362"/>
      <c r="D8" s="1362"/>
      <c r="E8" s="1007" t="s">
        <v>1447</v>
      </c>
      <c r="F8" s="1007" t="s">
        <v>1764</v>
      </c>
      <c r="G8" s="1008" t="s">
        <v>1147</v>
      </c>
      <c r="H8" s="1361"/>
      <c r="I8" s="1009"/>
      <c r="J8" s="1387"/>
      <c r="K8" s="996"/>
      <c r="L8" s="1004" t="b">
        <f>IF($L$7&gt;10000000,"25%",IF($L$7&gt;999999,"34%",IF($L$7&gt;99999,"71%",IF($L$7&gt;1,"100%"))))</f>
        <v>0</v>
      </c>
      <c r="M8" s="1010"/>
      <c r="O8" s="1011"/>
      <c r="P8" s="1012"/>
    </row>
    <row r="9" spans="1:78" ht="202.5" customHeight="1" thickBot="1" x14ac:dyDescent="0.35">
      <c r="A9" s="1363"/>
      <c r="B9" s="1364"/>
      <c r="C9" s="1364"/>
      <c r="D9" s="1365"/>
      <c r="E9" s="1013" t="b">
        <f>IF($L$7&gt;10000000,"25% -- Average of similar units is 46%",IF($L$7&gt;999999,"34% -- Average of similar units is 63%",IF($L$7&gt;99999,"71% -- Average of similar units is 132%",IF($L$7&gt;1,"100 %-- Average of similar units is 260%"))))</f>
        <v>0</v>
      </c>
      <c r="F9" s="1014" t="str">
        <f>'PI series #'!D6</f>
        <v/>
      </c>
      <c r="G9" s="1015"/>
      <c r="H9" s="1091" t="s">
        <v>1765</v>
      </c>
      <c r="I9" s="1104" t="s">
        <v>1650</v>
      </c>
      <c r="J9" s="1107"/>
      <c r="K9" s="996"/>
      <c r="L9" s="1119" t="e">
        <f>+'PI series #'!L6</f>
        <v>#VALUE!</v>
      </c>
      <c r="M9" s="1010"/>
      <c r="O9" s="1011"/>
      <c r="P9" s="1012"/>
    </row>
    <row r="10" spans="1:78" ht="202.5" hidden="1" customHeight="1" thickBot="1" x14ac:dyDescent="0.35">
      <c r="A10" s="1363"/>
      <c r="B10" s="1364"/>
      <c r="C10" s="1364"/>
      <c r="D10" s="1365"/>
      <c r="E10" s="1013" t="str">
        <f>IF($K$5&gt;99999999,"16%--Median of simiar units is 32%","20%--Median of similar units is 39%")</f>
        <v>20%--Median of similar units is 39%</v>
      </c>
      <c r="F10" s="1014"/>
      <c r="G10" s="1015"/>
      <c r="H10" s="1091" t="s">
        <v>1799</v>
      </c>
      <c r="I10" s="1104" t="s">
        <v>1650</v>
      </c>
      <c r="J10" s="1107"/>
      <c r="K10" s="1120">
        <f>IF($K$5&gt;99999999,16%,20%)</f>
        <v>0.2</v>
      </c>
      <c r="L10" s="1119" t="e">
        <f>+'PI series #'!L8</f>
        <v>#VALUE!</v>
      </c>
      <c r="M10" s="1010"/>
      <c r="O10" s="1011"/>
      <c r="P10" s="1012"/>
    </row>
    <row r="11" spans="1:78" ht="202.5" hidden="1" customHeight="1" thickBot="1" x14ac:dyDescent="0.35">
      <c r="A11" s="1363"/>
      <c r="B11" s="1364"/>
      <c r="C11" s="1364"/>
      <c r="D11" s="1365"/>
      <c r="E11" s="1121">
        <v>0.08</v>
      </c>
      <c r="F11" s="1014"/>
      <c r="G11" s="1015"/>
      <c r="H11" s="1091" t="s">
        <v>1696</v>
      </c>
      <c r="I11" s="1104" t="s">
        <v>1650</v>
      </c>
      <c r="J11" s="1107"/>
      <c r="K11" s="996"/>
      <c r="L11" s="1118" t="str">
        <f>++'PI series #'!D9</f>
        <v/>
      </c>
      <c r="M11" s="1010"/>
      <c r="O11" s="1011"/>
      <c r="P11" s="1012"/>
    </row>
    <row r="12" spans="1:78" ht="152.25" hidden="1" customHeight="1" thickBot="1" x14ac:dyDescent="0.35">
      <c r="A12" s="953" t="s">
        <v>1174</v>
      </c>
      <c r="B12" s="1125"/>
      <c r="C12" s="1125"/>
      <c r="D12" s="1126">
        <f>+Import!L65</f>
        <v>0</v>
      </c>
      <c r="E12" s="1127"/>
      <c r="F12" s="1126">
        <f>+D12</f>
        <v>0</v>
      </c>
      <c r="G12" s="1128"/>
      <c r="H12" s="1128" t="s">
        <v>1406</v>
      </c>
      <c r="I12" s="1131" t="s">
        <v>1175</v>
      </c>
      <c r="J12" s="1132"/>
      <c r="K12" s="997"/>
      <c r="L12" s="998"/>
      <c r="M12" s="998"/>
      <c r="N12" s="998"/>
      <c r="O12" s="998"/>
      <c r="P12" s="998"/>
      <c r="Y12" s="269"/>
      <c r="Z12" s="172" t="s">
        <v>1652</v>
      </c>
    </row>
    <row r="13" spans="1:78" ht="51.75" customHeight="1" thickBot="1" x14ac:dyDescent="0.35">
      <c r="A13" s="1017" t="s">
        <v>1800</v>
      </c>
      <c r="B13" s="1018"/>
      <c r="C13" s="1018"/>
      <c r="D13" s="1018"/>
      <c r="E13" s="1007" t="s">
        <v>1447</v>
      </c>
      <c r="F13" s="1007" t="s">
        <v>1764</v>
      </c>
      <c r="G13" s="1019"/>
      <c r="H13" s="1129" t="s">
        <v>1766</v>
      </c>
      <c r="I13" s="1089"/>
      <c r="J13" s="1089"/>
      <c r="K13" s="996"/>
      <c r="L13" s="1021" t="e">
        <f>HLOOKUP($B$5,'2019 Data(H)'!$E$2:$CB$305,244,FALSE)</f>
        <v>#N/A</v>
      </c>
      <c r="M13" s="1021" t="e">
        <f>HLOOKUP(B5,'2020 Data(H)'!E2:CZ350,244,FALSE)</f>
        <v>#N/A</v>
      </c>
      <c r="N13" s="1021" t="e">
        <f>Import!L268</f>
        <v>#N/A</v>
      </c>
      <c r="O13" s="1022"/>
      <c r="P13" s="1023"/>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c r="AL13" s="1024"/>
      <c r="AM13" s="1024"/>
      <c r="AN13" s="1024"/>
      <c r="AO13" s="1024"/>
      <c r="AP13" s="1024"/>
      <c r="AQ13" s="1024"/>
      <c r="AR13" s="1024"/>
      <c r="AS13" s="1024"/>
      <c r="AT13" s="1024"/>
      <c r="AU13" s="1024"/>
      <c r="AV13" s="1024"/>
      <c r="AW13" s="1024"/>
      <c r="AX13" s="1024"/>
      <c r="AY13" s="1024"/>
      <c r="AZ13" s="1024"/>
      <c r="BA13" s="1024"/>
      <c r="BB13" s="1024"/>
      <c r="BC13" s="1024"/>
      <c r="BD13" s="1024"/>
      <c r="BE13" s="1024"/>
      <c r="BF13" s="1024"/>
      <c r="BG13" s="1024"/>
      <c r="BH13" s="1024"/>
      <c r="BI13" s="1024"/>
      <c r="BJ13" s="1024"/>
      <c r="BK13" s="1024"/>
      <c r="BL13" s="1024"/>
      <c r="BM13" s="1024"/>
      <c r="BN13" s="1024"/>
      <c r="BO13" s="1024"/>
      <c r="BP13" s="1024"/>
      <c r="BQ13" s="1024"/>
      <c r="BR13" s="1024"/>
      <c r="BS13" s="1024"/>
      <c r="BT13" s="1024"/>
      <c r="BU13" s="1024"/>
      <c r="BV13" s="1024"/>
      <c r="BW13" s="1024"/>
      <c r="BX13" s="1024"/>
      <c r="BY13" s="1024"/>
      <c r="BZ13" s="1024"/>
    </row>
    <row r="14" spans="1:78" ht="202.5" customHeight="1" thickBot="1" x14ac:dyDescent="0.35">
      <c r="A14" s="1025"/>
      <c r="B14" s="1026"/>
      <c r="C14" s="1026"/>
      <c r="D14" s="1027"/>
      <c r="E14" s="1028" t="s">
        <v>1139</v>
      </c>
      <c r="F14" s="1029" t="str">
        <f>'PI series #'!F12</f>
        <v/>
      </c>
      <c r="G14" s="1030"/>
      <c r="H14" s="1091" t="s">
        <v>1767</v>
      </c>
      <c r="I14" s="1105" t="s">
        <v>1148</v>
      </c>
      <c r="J14" s="1107"/>
      <c r="K14" s="996"/>
      <c r="L14" s="1021" t="e">
        <f>HLOOKUP($B$5,'2019 Data(H)'!$E$2:$CB$305,299,FALSE)</f>
        <v>#N/A</v>
      </c>
      <c r="M14" s="1021" t="e">
        <f>HLOOKUP(B4,'2020 Data(H)'!E1:CB428,347,FALSE)</f>
        <v>#N/A</v>
      </c>
      <c r="N14" s="1021" t="e">
        <f>+(Import!$L$120-Import!$L$121-Import!$L$118-Import!$L$119)/(Import!$L$124-Import!$L$125-Import!$L$126-Import!$L$127-Import!$L$128-Import!$L$129-Import!$L$123)</f>
        <v>#DIV/0!</v>
      </c>
    </row>
    <row r="15" spans="1:78" ht="27.75" customHeight="1" thickBot="1" x14ac:dyDescent="0.35">
      <c r="A15" s="1031"/>
      <c r="B15" s="1032" t="s">
        <v>1768</v>
      </c>
      <c r="C15" s="1032" t="s">
        <v>1769</v>
      </c>
      <c r="D15" s="1032" t="s">
        <v>1770</v>
      </c>
      <c r="E15" s="1007" t="s">
        <v>1447</v>
      </c>
      <c r="F15" s="1007" t="s">
        <v>1764</v>
      </c>
      <c r="G15" s="1033"/>
      <c r="H15" s="1020"/>
      <c r="I15" s="1089"/>
      <c r="J15" s="1089"/>
      <c r="K15" s="996"/>
      <c r="L15" s="1021"/>
      <c r="M15" s="1021"/>
      <c r="N15" s="1021"/>
    </row>
    <row r="16" spans="1:78" ht="69.599999999999994" customHeight="1" thickBot="1" x14ac:dyDescent="0.35">
      <c r="A16" s="1034" t="s">
        <v>1190</v>
      </c>
      <c r="B16" s="1035" t="e">
        <f>IF(L13=0,"Not Applicable",L16)</f>
        <v>#N/A</v>
      </c>
      <c r="C16" s="1035" t="e">
        <f>IF(M13=0,"Not Applicable",M16)</f>
        <v>#N/A</v>
      </c>
      <c r="D16" s="1035" t="e">
        <f>IF(N13=0,"Not Applicable",N16)</f>
        <v>#N/A</v>
      </c>
      <c r="E16" s="1036" t="s">
        <v>1771</v>
      </c>
      <c r="F16" s="1035" t="e">
        <f>D16</f>
        <v>#N/A</v>
      </c>
      <c r="G16" s="1037" t="s">
        <v>1191</v>
      </c>
      <c r="H16" s="1091" t="s">
        <v>1772</v>
      </c>
      <c r="I16" s="1105" t="s">
        <v>1191</v>
      </c>
      <c r="J16" s="1108"/>
      <c r="K16" s="996"/>
      <c r="L16" s="1039" t="e">
        <f>HLOOKUP(B5,'2019 Data(H)'!E2:CB305,300,FALSE)</f>
        <v>#N/A</v>
      </c>
      <c r="M16" s="1039" t="e">
        <f>HLOOKUP(B4,'2020 Data(H)'!F1:CC428,348,FALSE)</f>
        <v>#N/A</v>
      </c>
      <c r="N16" s="1005">
        <f>+Import!$L$153-Import!$L$155+Import!$L$154-Import!$L$182</f>
        <v>0</v>
      </c>
    </row>
    <row r="17" spans="1:81" ht="109.95" customHeight="1" thickBot="1" x14ac:dyDescent="0.35">
      <c r="A17" s="1034" t="s">
        <v>1215</v>
      </c>
      <c r="B17" s="1040" t="e">
        <f>IF(L13=0,"Not Applicable",L17)</f>
        <v>#N/A</v>
      </c>
      <c r="C17" s="1040" t="e">
        <f t="shared" ref="C17:D17" si="0">IF(M13=0,"Not Applicable",M17)</f>
        <v>#N/A</v>
      </c>
      <c r="D17" s="1040" t="e">
        <f t="shared" si="0"/>
        <v>#N/A</v>
      </c>
      <c r="E17" s="1036" t="s">
        <v>1685</v>
      </c>
      <c r="F17" s="1041" t="e">
        <f>D17</f>
        <v>#N/A</v>
      </c>
      <c r="G17" s="1037" t="s">
        <v>1192</v>
      </c>
      <c r="H17" s="1091" t="s">
        <v>1773</v>
      </c>
      <c r="I17" s="1105" t="s">
        <v>1192</v>
      </c>
      <c r="J17" s="1107"/>
      <c r="K17" s="996"/>
      <c r="L17" s="1042" t="e">
        <f>HLOOKUP(B5,'2019 Data(H)'!E2:CB305,301,FALSE)</f>
        <v>#N/A</v>
      </c>
      <c r="M17" s="1042" t="e">
        <f>HLOOKUP(B4,'2020 Data(H)'!F1:CC428,349,FALSE)</f>
        <v>#N/A</v>
      </c>
      <c r="N17" s="1042" t="e">
        <f>+Import!L116/(Import!L155+Import!L158-Import!L154+Import!L182)</f>
        <v>#DIV/0!</v>
      </c>
      <c r="O17" s="994"/>
    </row>
    <row r="18" spans="1:81" ht="75" customHeight="1" thickBot="1" x14ac:dyDescent="0.4">
      <c r="A18" s="1366" t="s">
        <v>1686</v>
      </c>
      <c r="B18" s="1367"/>
      <c r="C18" s="1368"/>
      <c r="D18" s="1043" t="str">
        <f>IF(M18&lt;0,"Yes","No")</f>
        <v>No</v>
      </c>
      <c r="E18" s="1044"/>
      <c r="F18" s="1239"/>
      <c r="G18" s="1038" t="s">
        <v>1774</v>
      </c>
      <c r="H18" s="1091" t="s">
        <v>1775</v>
      </c>
      <c r="I18" s="1106" t="s">
        <v>1687</v>
      </c>
      <c r="J18" s="1108"/>
      <c r="K18" s="996"/>
      <c r="L18" s="1045"/>
      <c r="M18" s="1045">
        <f>((Import!L158+Import!L155)*0.03)-Import!L161</f>
        <v>0</v>
      </c>
      <c r="N18" s="269">
        <f>L18*0.03</f>
        <v>0</v>
      </c>
    </row>
    <row r="19" spans="1:81" ht="15" thickBot="1" x14ac:dyDescent="0.35">
      <c r="A19" s="1046"/>
      <c r="B19" s="1047"/>
      <c r="C19" s="1047"/>
      <c r="D19" s="1047"/>
      <c r="E19" s="1048"/>
      <c r="F19" s="1047"/>
      <c r="G19" s="1049"/>
      <c r="H19" s="1047"/>
      <c r="I19" s="1086"/>
      <c r="J19" s="1086"/>
    </row>
    <row r="20" spans="1:81" ht="27.75" customHeight="1" thickBot="1" x14ac:dyDescent="0.35">
      <c r="A20" s="1369" t="s">
        <v>1776</v>
      </c>
      <c r="B20" s="1370"/>
      <c r="C20" s="1370"/>
      <c r="D20" s="1370"/>
      <c r="E20" s="1007" t="s">
        <v>1447</v>
      </c>
      <c r="F20" s="1007" t="s">
        <v>1764</v>
      </c>
      <c r="G20" s="1050" t="s">
        <v>1214</v>
      </c>
      <c r="H20" s="1051"/>
      <c r="I20" s="1090"/>
      <c r="J20" s="1090"/>
      <c r="K20" s="996"/>
      <c r="L20" s="1021" t="e">
        <f>HLOOKUP(B5,'2019 Data(H)'!E2:CB310,243,FALSE)</f>
        <v>#N/A</v>
      </c>
      <c r="M20" s="1052" t="e">
        <f>HLOOKUP(B5,'2020 Data(H)'!E2:CZ350,243,FALSE)</f>
        <v>#N/A</v>
      </c>
      <c r="N20" s="1053" t="e">
        <f>+Import!L267</f>
        <v>#N/A</v>
      </c>
    </row>
    <row r="21" spans="1:81" ht="202.5" customHeight="1" thickBot="1" x14ac:dyDescent="0.35">
      <c r="A21" s="1371"/>
      <c r="B21" s="1372"/>
      <c r="C21" s="1372"/>
      <c r="D21" s="1373"/>
      <c r="E21" s="1036" t="s">
        <v>1139</v>
      </c>
      <c r="F21" s="1085" t="str">
        <f>'PI series #'!F18</f>
        <v/>
      </c>
      <c r="G21" s="1038"/>
      <c r="H21" s="1102" t="s">
        <v>1777</v>
      </c>
      <c r="I21" s="1092" t="s">
        <v>1199</v>
      </c>
      <c r="J21" s="1109"/>
      <c r="K21" s="996"/>
      <c r="L21" s="1052" t="e">
        <f>HLOOKUP(B5,'2019 Data(H)'!E2:CB310,302,FALSE)</f>
        <v>#N/A</v>
      </c>
      <c r="M21" s="1021" t="e">
        <f>HLOOKUP(B4,'2020 Data(H)'!F1:CC428,350,FALSE)</f>
        <v>#N/A</v>
      </c>
      <c r="N21" s="1021" t="e">
        <f>+(Import!L138-Import!L139-Import!L137-Import!L136)/(Import!L143-Import!L144-Import!L145-Import!L146-Import!L147-Import!L148-Import!L142)</f>
        <v>#DIV/0!</v>
      </c>
    </row>
    <row r="22" spans="1:81" ht="27.75" customHeight="1" thickBot="1" x14ac:dyDescent="0.35">
      <c r="A22" s="1055"/>
      <c r="B22" s="1056" t="s">
        <v>1768</v>
      </c>
      <c r="C22" s="1056" t="s">
        <v>1769</v>
      </c>
      <c r="D22" s="1056" t="s">
        <v>1770</v>
      </c>
      <c r="E22" s="1007" t="s">
        <v>1447</v>
      </c>
      <c r="F22" s="1007" t="s">
        <v>1764</v>
      </c>
      <c r="G22" s="1038"/>
      <c r="H22" s="1016"/>
      <c r="I22" s="1092"/>
      <c r="J22" s="1016"/>
      <c r="K22" s="996"/>
      <c r="L22" s="1052"/>
      <c r="M22" s="1021"/>
      <c r="N22" s="1021"/>
    </row>
    <row r="23" spans="1:81" ht="71.25" customHeight="1" thickBot="1" x14ac:dyDescent="0.35">
      <c r="A23" s="1034" t="s">
        <v>1190</v>
      </c>
      <c r="B23" s="1057" t="e">
        <f>IF(L20=0,"N/A",L23)</f>
        <v>#N/A</v>
      </c>
      <c r="C23" s="1057" t="e">
        <f>IF(M20=0,"N/A",M23)</f>
        <v>#N/A</v>
      </c>
      <c r="D23" s="1057" t="e">
        <f>IF(N20=0,"N/A",N23)</f>
        <v>#N/A</v>
      </c>
      <c r="E23" s="1036" t="s">
        <v>1452</v>
      </c>
      <c r="F23" s="1065" t="e">
        <f>D23</f>
        <v>#N/A</v>
      </c>
      <c r="G23" s="1038"/>
      <c r="H23" s="1102" t="s">
        <v>1778</v>
      </c>
      <c r="I23" s="1110" t="s">
        <v>1193</v>
      </c>
      <c r="J23" s="1108"/>
      <c r="K23" s="996"/>
      <c r="L23" s="1039" t="e">
        <f>HLOOKUP(B5,'2019 Data(H)'!E2:CB310,303,FALSE)</f>
        <v>#N/A</v>
      </c>
      <c r="M23" s="1039" t="e">
        <f>HLOOKUP(B4,'2020 Data(H)'!F1:CC428,351,FALSE)</f>
        <v>#N/A</v>
      </c>
      <c r="N23" s="1039">
        <f>+Import!L168-Import!L171+Import!L170-Import!L185</f>
        <v>0</v>
      </c>
    </row>
    <row r="24" spans="1:81" s="269" customFormat="1" ht="102.75" customHeight="1" thickBot="1" x14ac:dyDescent="0.35">
      <c r="A24" s="1034" t="s">
        <v>1215</v>
      </c>
      <c r="B24" s="1040" t="e">
        <f>IF(L20=0,"N/A",L24)</f>
        <v>#N/A</v>
      </c>
      <c r="C24" s="1040" t="e">
        <f>IF(M20=0,"N/A",M24)</f>
        <v>#N/A</v>
      </c>
      <c r="D24" s="1040" t="e">
        <f>IF(N20=0,"N/A",N24)</f>
        <v>#N/A</v>
      </c>
      <c r="E24" s="1036" t="s">
        <v>1685</v>
      </c>
      <c r="F24" s="1041" t="e">
        <f>D24</f>
        <v>#N/A</v>
      </c>
      <c r="G24" s="1038"/>
      <c r="H24" s="1091" t="s">
        <v>1773</v>
      </c>
      <c r="I24" s="1110" t="s">
        <v>1203</v>
      </c>
      <c r="J24" s="1107"/>
      <c r="K24" s="996"/>
      <c r="L24" s="1042" t="e">
        <f>HLOOKUP(B5,'2019 Data(H)'!E2:CB310,304,FALSE)</f>
        <v>#N/A</v>
      </c>
      <c r="M24" s="1042" t="e">
        <f>HLOOKUP(B4,'2020 Data(H)'!F1:CC428,352,FALSE)</f>
        <v>#N/A</v>
      </c>
      <c r="N24" s="1042" t="e">
        <f>+Import!L134/(Import!L174+Import!L171-Import!L170+Import!L185)</f>
        <v>#DIV/0!</v>
      </c>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8"/>
      <c r="AW24" s="998"/>
      <c r="AX24" s="998"/>
      <c r="AY24" s="998"/>
      <c r="AZ24" s="998"/>
      <c r="BA24" s="998"/>
      <c r="BB24" s="998"/>
      <c r="BC24" s="998"/>
      <c r="BD24" s="998"/>
      <c r="BE24" s="998"/>
      <c r="BF24" s="998"/>
      <c r="BG24" s="998"/>
      <c r="BH24" s="998"/>
      <c r="BI24" s="998"/>
      <c r="BJ24" s="998"/>
      <c r="BK24" s="998"/>
      <c r="BL24" s="998"/>
      <c r="BM24" s="998"/>
      <c r="BN24" s="998"/>
      <c r="BO24" s="998"/>
      <c r="BP24" s="998"/>
      <c r="BQ24" s="998"/>
      <c r="BR24" s="998"/>
      <c r="BS24" s="998"/>
      <c r="BT24" s="998"/>
      <c r="BU24" s="998"/>
      <c r="BV24" s="998"/>
      <c r="BW24" s="998"/>
      <c r="BX24" s="998"/>
      <c r="BY24" s="998"/>
      <c r="BZ24" s="998"/>
      <c r="CA24" s="998"/>
      <c r="CB24" s="998"/>
      <c r="CC24" s="998"/>
    </row>
    <row r="25" spans="1:81" s="269" customFormat="1" ht="25.5" hidden="1" customHeight="1" thickBot="1" x14ac:dyDescent="0.35">
      <c r="A25" s="1093" t="s">
        <v>1450</v>
      </c>
      <c r="B25" s="1096"/>
      <c r="C25" s="1096"/>
      <c r="D25" s="1096"/>
      <c r="E25" s="1097"/>
      <c r="F25" s="1098"/>
      <c r="G25" s="1094"/>
      <c r="H25" s="1095"/>
      <c r="I25" s="1133"/>
      <c r="J25" s="1134"/>
      <c r="K25" s="996"/>
      <c r="L25" s="1042"/>
      <c r="M25" s="1042"/>
      <c r="N25" s="1042"/>
      <c r="P25" s="997"/>
      <c r="Q25" s="998"/>
      <c r="R25" s="998"/>
      <c r="S25" s="998"/>
      <c r="T25" s="998"/>
      <c r="U25" s="998"/>
      <c r="V25" s="998"/>
      <c r="W25" s="998"/>
      <c r="X25" s="998"/>
      <c r="Y25" s="998"/>
      <c r="Z25" s="998"/>
      <c r="AA25" s="998"/>
      <c r="AB25" s="998"/>
      <c r="AC25" s="998"/>
      <c r="AD25" s="998"/>
      <c r="AE25" s="998"/>
      <c r="AF25" s="998"/>
      <c r="AG25" s="998"/>
      <c r="AH25" s="998"/>
      <c r="AI25" s="998"/>
      <c r="AJ25" s="998"/>
      <c r="AK25" s="998"/>
      <c r="AL25" s="998"/>
      <c r="AM25" s="998"/>
      <c r="AN25" s="998"/>
      <c r="AO25" s="998"/>
      <c r="AP25" s="998"/>
      <c r="AQ25" s="998"/>
      <c r="AR25" s="998"/>
      <c r="AS25" s="998"/>
      <c r="AT25" s="998"/>
      <c r="AU25" s="998"/>
      <c r="AV25" s="998"/>
      <c r="AW25" s="998"/>
      <c r="AX25" s="998"/>
      <c r="AY25" s="998"/>
      <c r="AZ25" s="998"/>
      <c r="BA25" s="998"/>
      <c r="BB25" s="998"/>
      <c r="BC25" s="998"/>
      <c r="BD25" s="998"/>
      <c r="BE25" s="998"/>
      <c r="BF25" s="998"/>
      <c r="BG25" s="998"/>
      <c r="BH25" s="998"/>
      <c r="BI25" s="998"/>
      <c r="BJ25" s="998"/>
      <c r="BK25" s="998"/>
      <c r="BL25" s="998"/>
      <c r="BM25" s="998"/>
      <c r="BN25" s="998"/>
      <c r="BO25" s="998"/>
      <c r="BP25" s="998"/>
      <c r="BQ25" s="998"/>
      <c r="BR25" s="998"/>
      <c r="BS25" s="998"/>
      <c r="BT25" s="998"/>
      <c r="BU25" s="998"/>
      <c r="BV25" s="998"/>
      <c r="BW25" s="998"/>
      <c r="BX25" s="998"/>
      <c r="BY25" s="998"/>
      <c r="BZ25" s="998"/>
      <c r="CA25" s="998"/>
      <c r="CB25" s="998"/>
      <c r="CC25" s="998"/>
    </row>
    <row r="26" spans="1:81" s="269" customFormat="1" ht="88.5" hidden="1" customHeight="1" thickBot="1" x14ac:dyDescent="0.35">
      <c r="A26" s="1093" t="s">
        <v>731</v>
      </c>
      <c r="B26" s="1096"/>
      <c r="C26" s="1096"/>
      <c r="D26" s="1123" t="str">
        <f>+N26</f>
        <v/>
      </c>
      <c r="E26" s="1036" t="s">
        <v>1139</v>
      </c>
      <c r="F26" s="1122" t="str">
        <f>+N26</f>
        <v/>
      </c>
      <c r="G26" s="1094"/>
      <c r="H26" s="1102" t="s">
        <v>1777</v>
      </c>
      <c r="I26" s="1092" t="s">
        <v>1697</v>
      </c>
      <c r="J26" s="1107"/>
      <c r="K26" s="996"/>
      <c r="L26" s="1042"/>
      <c r="M26" s="1042"/>
      <c r="N26" s="1124" t="str">
        <f>IFERROR((+Import!L94-Import!L93)/Import!L95,"")</f>
        <v/>
      </c>
      <c r="P26" s="997"/>
      <c r="Q26" s="998"/>
      <c r="R26" s="998"/>
      <c r="S26" s="998"/>
      <c r="T26" s="998"/>
      <c r="U26" s="998"/>
      <c r="V26" s="998"/>
      <c r="W26" s="998"/>
      <c r="X26" s="998"/>
      <c r="Y26" s="998"/>
      <c r="Z26" s="998"/>
      <c r="AA26" s="998"/>
      <c r="AB26" s="998"/>
      <c r="AC26" s="998"/>
      <c r="AD26" s="998"/>
      <c r="AE26" s="998"/>
      <c r="AF26" s="998"/>
      <c r="AG26" s="998"/>
      <c r="AH26" s="998"/>
      <c r="AI26" s="998"/>
      <c r="AJ26" s="998"/>
      <c r="AK26" s="998"/>
      <c r="AL26" s="998"/>
      <c r="AM26" s="998"/>
      <c r="AN26" s="998"/>
      <c r="AO26" s="998"/>
      <c r="AP26" s="998"/>
      <c r="AQ26" s="998"/>
      <c r="AR26" s="998"/>
      <c r="AS26" s="998"/>
      <c r="AT26" s="998"/>
      <c r="AU26" s="998"/>
      <c r="AV26" s="998"/>
      <c r="AW26" s="998"/>
      <c r="AX26" s="998"/>
      <c r="AY26" s="998"/>
      <c r="AZ26" s="998"/>
      <c r="BA26" s="998"/>
      <c r="BB26" s="998"/>
      <c r="BC26" s="998"/>
      <c r="BD26" s="998"/>
      <c r="BE26" s="998"/>
      <c r="BF26" s="998"/>
      <c r="BG26" s="998"/>
      <c r="BH26" s="998"/>
      <c r="BI26" s="998"/>
      <c r="BJ26" s="998"/>
      <c r="BK26" s="998"/>
      <c r="BL26" s="998"/>
      <c r="BM26" s="998"/>
      <c r="BN26" s="998"/>
      <c r="BO26" s="998"/>
      <c r="BP26" s="998"/>
      <c r="BQ26" s="998"/>
      <c r="BR26" s="998"/>
      <c r="BS26" s="998"/>
      <c r="BT26" s="998"/>
      <c r="BU26" s="998"/>
      <c r="BV26" s="998"/>
      <c r="BW26" s="998"/>
      <c r="BX26" s="998"/>
      <c r="BY26" s="998"/>
      <c r="BZ26" s="998"/>
      <c r="CA26" s="998"/>
      <c r="CB26" s="998"/>
      <c r="CC26" s="998"/>
    </row>
    <row r="27" spans="1:81" s="269" customFormat="1" ht="18.600000000000001" thickBot="1" x14ac:dyDescent="0.35">
      <c r="A27" s="1058"/>
      <c r="B27" s="1059"/>
      <c r="C27" s="1059"/>
      <c r="D27" s="1059"/>
      <c r="E27" s="1060"/>
      <c r="F27" s="1059"/>
      <c r="G27" s="1061"/>
      <c r="H27" s="1059"/>
      <c r="I27" s="1111"/>
      <c r="J27" s="1086"/>
      <c r="K27" s="999"/>
      <c r="N27" s="1011"/>
      <c r="P27" s="997"/>
      <c r="Q27" s="998"/>
      <c r="R27" s="998"/>
      <c r="S27" s="998"/>
      <c r="T27" s="998"/>
      <c r="U27" s="998"/>
      <c r="V27" s="998"/>
      <c r="W27" s="998"/>
      <c r="X27" s="998"/>
      <c r="Y27" s="998"/>
      <c r="Z27" s="998"/>
      <c r="AA27" s="998"/>
      <c r="AB27" s="998"/>
      <c r="AC27" s="998"/>
      <c r="AD27" s="998"/>
      <c r="AE27" s="998"/>
      <c r="AF27" s="998"/>
      <c r="AG27" s="998"/>
      <c r="AH27" s="998"/>
      <c r="AI27" s="998"/>
      <c r="AJ27" s="998"/>
      <c r="AK27" s="998"/>
      <c r="AL27" s="998"/>
      <c r="AM27" s="998"/>
      <c r="AN27" s="998"/>
      <c r="AO27" s="998"/>
      <c r="AP27" s="998"/>
      <c r="AQ27" s="998"/>
      <c r="AR27" s="998"/>
      <c r="AS27" s="998"/>
      <c r="AT27" s="998"/>
      <c r="AU27" s="998"/>
      <c r="AV27" s="998"/>
      <c r="AW27" s="998"/>
      <c r="AX27" s="998"/>
      <c r="AY27" s="998"/>
      <c r="AZ27" s="998"/>
      <c r="BA27" s="998"/>
      <c r="BB27" s="998"/>
      <c r="BC27" s="998"/>
      <c r="BD27" s="998"/>
      <c r="BE27" s="998"/>
      <c r="BF27" s="998"/>
      <c r="BG27" s="998"/>
      <c r="BH27" s="998"/>
      <c r="BI27" s="998"/>
      <c r="BJ27" s="998"/>
      <c r="BK27" s="998"/>
      <c r="BL27" s="998"/>
      <c r="BM27" s="998"/>
      <c r="BN27" s="998"/>
      <c r="BO27" s="998"/>
      <c r="BP27" s="998"/>
      <c r="BQ27" s="998"/>
      <c r="BR27" s="998"/>
      <c r="BS27" s="998"/>
      <c r="BT27" s="998"/>
      <c r="BU27" s="998"/>
      <c r="BV27" s="998"/>
      <c r="BW27" s="998"/>
      <c r="BX27" s="998"/>
      <c r="BY27" s="998"/>
      <c r="BZ27" s="998"/>
      <c r="CA27" s="998"/>
      <c r="CB27" s="998"/>
      <c r="CC27" s="998"/>
    </row>
    <row r="28" spans="1:81" s="269" customFormat="1" ht="18.600000000000001" thickBot="1" x14ac:dyDescent="0.35">
      <c r="A28" s="1369" t="s">
        <v>1779</v>
      </c>
      <c r="B28" s="1370"/>
      <c r="C28" s="1374"/>
      <c r="D28" s="284" t="s">
        <v>1770</v>
      </c>
      <c r="E28" s="285" t="s">
        <v>1780</v>
      </c>
      <c r="F28" s="1062"/>
      <c r="G28" s="1063"/>
      <c r="H28" s="1064"/>
      <c r="I28" s="1113"/>
      <c r="J28" s="1064"/>
      <c r="K28" s="996"/>
      <c r="P28" s="997"/>
      <c r="Q28" s="998"/>
      <c r="R28" s="998"/>
      <c r="S28" s="998"/>
      <c r="T28" s="998"/>
      <c r="U28" s="998"/>
      <c r="V28" s="998"/>
      <c r="W28" s="998"/>
      <c r="X28" s="998"/>
      <c r="Y28" s="998"/>
      <c r="Z28" s="998"/>
      <c r="AA28" s="998"/>
      <c r="AB28" s="998"/>
      <c r="AC28" s="998"/>
      <c r="AD28" s="998"/>
      <c r="AE28" s="998"/>
      <c r="AF28" s="998"/>
      <c r="AG28" s="998"/>
      <c r="AH28" s="998"/>
      <c r="AI28" s="998"/>
      <c r="AJ28" s="998"/>
      <c r="AK28" s="998"/>
      <c r="AL28" s="998"/>
      <c r="AM28" s="998"/>
      <c r="AN28" s="998"/>
      <c r="AO28" s="998"/>
      <c r="AP28" s="998"/>
      <c r="AQ28" s="998"/>
      <c r="AR28" s="998"/>
      <c r="AS28" s="998"/>
      <c r="AT28" s="998"/>
      <c r="AU28" s="998"/>
      <c r="AV28" s="998"/>
      <c r="AW28" s="998"/>
      <c r="AX28" s="998"/>
      <c r="AY28" s="998"/>
      <c r="AZ28" s="998"/>
      <c r="BA28" s="998"/>
      <c r="BB28" s="998"/>
      <c r="BC28" s="998"/>
      <c r="BD28" s="998"/>
      <c r="BE28" s="998"/>
      <c r="BF28" s="998"/>
      <c r="BG28" s="998"/>
      <c r="BH28" s="998"/>
      <c r="BI28" s="998"/>
      <c r="BJ28" s="998"/>
      <c r="BK28" s="998"/>
      <c r="BL28" s="998"/>
      <c r="BM28" s="998"/>
      <c r="BN28" s="998"/>
      <c r="BO28" s="998"/>
      <c r="BP28" s="998"/>
      <c r="BQ28" s="998"/>
      <c r="BR28" s="998"/>
      <c r="BS28" s="998"/>
      <c r="BT28" s="998"/>
      <c r="BU28" s="998"/>
      <c r="BV28" s="998"/>
      <c r="BW28" s="998"/>
      <c r="BX28" s="998"/>
      <c r="BY28" s="998"/>
      <c r="BZ28" s="998"/>
      <c r="CA28" s="998"/>
      <c r="CB28" s="998"/>
      <c r="CC28" s="998"/>
    </row>
    <row r="29" spans="1:81" s="269" customFormat="1" ht="92.25" customHeight="1" thickBot="1" x14ac:dyDescent="0.35">
      <c r="A29" s="1375" t="s">
        <v>1781</v>
      </c>
      <c r="B29" s="1375"/>
      <c r="C29" s="1375"/>
      <c r="D29" s="1065" t="b">
        <f>IF(Import!L258=1,"Yes",IF(Import!L258=2,"No"))</f>
        <v>0</v>
      </c>
      <c r="E29" s="1036" t="s">
        <v>1143</v>
      </c>
      <c r="F29" s="1065" t="b">
        <f>D29</f>
        <v>0</v>
      </c>
      <c r="G29" s="1038"/>
      <c r="H29" s="1103" t="s">
        <v>1782</v>
      </c>
      <c r="I29" s="1110" t="s">
        <v>1163</v>
      </c>
      <c r="J29" s="1112"/>
      <c r="K29" s="996"/>
      <c r="P29" s="997"/>
      <c r="Q29" s="998"/>
      <c r="R29" s="998"/>
      <c r="S29" s="998"/>
      <c r="T29" s="998"/>
      <c r="U29" s="998"/>
      <c r="V29" s="998"/>
      <c r="W29" s="998"/>
      <c r="X29" s="998"/>
      <c r="Y29" s="998"/>
      <c r="Z29" s="998"/>
      <c r="AA29" s="998"/>
      <c r="AB29" s="998"/>
      <c r="AC29" s="998"/>
      <c r="AD29" s="998"/>
      <c r="AE29" s="998"/>
      <c r="AF29" s="998"/>
      <c r="AG29" s="998"/>
      <c r="AH29" s="998"/>
      <c r="AI29" s="998"/>
      <c r="AJ29" s="998"/>
      <c r="AK29" s="998"/>
      <c r="AL29" s="998"/>
      <c r="AM29" s="998"/>
      <c r="AN29" s="998"/>
      <c r="AO29" s="998"/>
      <c r="AP29" s="998"/>
      <c r="AQ29" s="998"/>
      <c r="AR29" s="998"/>
      <c r="AS29" s="998"/>
      <c r="AT29" s="998"/>
      <c r="AU29" s="998"/>
      <c r="AV29" s="998"/>
      <c r="AW29" s="998"/>
      <c r="AX29" s="998"/>
      <c r="AY29" s="998"/>
      <c r="AZ29" s="998"/>
      <c r="BA29" s="998"/>
      <c r="BB29" s="998"/>
      <c r="BC29" s="998"/>
      <c r="BD29" s="998"/>
      <c r="BE29" s="998"/>
      <c r="BF29" s="998"/>
      <c r="BG29" s="998"/>
      <c r="BH29" s="998"/>
      <c r="BI29" s="998"/>
      <c r="BJ29" s="998"/>
      <c r="BK29" s="998"/>
      <c r="BL29" s="998"/>
      <c r="BM29" s="998"/>
      <c r="BN29" s="998"/>
      <c r="BO29" s="998"/>
      <c r="BP29" s="998"/>
      <c r="BQ29" s="998"/>
      <c r="BR29" s="998"/>
      <c r="BS29" s="998"/>
      <c r="BT29" s="998"/>
      <c r="BU29" s="998"/>
      <c r="BV29" s="998"/>
      <c r="BW29" s="998"/>
      <c r="BX29" s="998"/>
      <c r="BY29" s="998"/>
      <c r="BZ29" s="998"/>
      <c r="CA29" s="998"/>
      <c r="CB29" s="998"/>
      <c r="CC29" s="998"/>
    </row>
    <row r="30" spans="1:81" s="269" customFormat="1" ht="18" customHeight="1" thickBot="1" x14ac:dyDescent="0.35">
      <c r="A30" s="1350"/>
      <c r="B30" s="1351"/>
      <c r="C30" s="1352"/>
      <c r="D30" s="1067" t="s">
        <v>1770</v>
      </c>
      <c r="E30" s="285" t="s">
        <v>1780</v>
      </c>
      <c r="F30" s="1068"/>
      <c r="G30" s="1038"/>
      <c r="H30" s="1068"/>
      <c r="I30" s="1114"/>
      <c r="J30" s="1117"/>
      <c r="K30" s="996"/>
      <c r="P30" s="997"/>
      <c r="Q30" s="998"/>
      <c r="R30" s="998"/>
      <c r="S30" s="998"/>
      <c r="T30" s="998"/>
      <c r="U30" s="998"/>
      <c r="V30" s="998"/>
      <c r="W30" s="998"/>
      <c r="X30" s="998"/>
      <c r="Y30" s="998"/>
      <c r="Z30" s="998"/>
      <c r="AA30" s="998"/>
      <c r="AB30" s="998"/>
      <c r="AC30" s="998"/>
      <c r="AD30" s="998"/>
      <c r="AE30" s="998"/>
      <c r="AF30" s="998"/>
      <c r="AG30" s="998"/>
      <c r="AH30" s="998"/>
      <c r="AI30" s="998"/>
      <c r="AJ30" s="998"/>
      <c r="AK30" s="998"/>
      <c r="AL30" s="998"/>
      <c r="AM30" s="998"/>
      <c r="AN30" s="998"/>
      <c r="AO30" s="998"/>
      <c r="AP30" s="998"/>
      <c r="AQ30" s="998"/>
      <c r="AR30" s="998"/>
      <c r="AS30" s="998"/>
      <c r="AT30" s="998"/>
      <c r="AU30" s="998"/>
      <c r="AV30" s="998"/>
      <c r="AW30" s="998"/>
      <c r="AX30" s="998"/>
      <c r="AY30" s="998"/>
      <c r="AZ30" s="998"/>
      <c r="BA30" s="998"/>
      <c r="BB30" s="998"/>
      <c r="BC30" s="998"/>
      <c r="BD30" s="998"/>
      <c r="BE30" s="998"/>
      <c r="BF30" s="998"/>
      <c r="BG30" s="998"/>
      <c r="BH30" s="998"/>
      <c r="BI30" s="998"/>
      <c r="BJ30" s="998"/>
      <c r="BK30" s="998"/>
      <c r="BL30" s="998"/>
      <c r="BM30" s="998"/>
      <c r="BN30" s="998"/>
      <c r="BO30" s="998"/>
      <c r="BP30" s="998"/>
      <c r="BQ30" s="998"/>
      <c r="BR30" s="998"/>
      <c r="BS30" s="998"/>
      <c r="BT30" s="998"/>
      <c r="BU30" s="998"/>
      <c r="BV30" s="998"/>
      <c r="BW30" s="998"/>
      <c r="BX30" s="998"/>
      <c r="BY30" s="998"/>
      <c r="BZ30" s="998"/>
      <c r="CA30" s="998"/>
      <c r="CB30" s="998"/>
      <c r="CC30" s="998"/>
    </row>
    <row r="31" spans="1:81" s="269" customFormat="1" ht="69.75" customHeight="1" thickBot="1" x14ac:dyDescent="0.35">
      <c r="A31" s="1375" t="s">
        <v>1354</v>
      </c>
      <c r="B31" s="1375"/>
      <c r="C31" s="1375"/>
      <c r="D31" s="1069" t="str">
        <f>IFERROR((Import!L67-Import!L68)/Import!L68,"")</f>
        <v/>
      </c>
      <c r="E31" s="1036" t="s">
        <v>1144</v>
      </c>
      <c r="F31" s="1070" t="str">
        <f>+D31</f>
        <v/>
      </c>
      <c r="G31" s="1038"/>
      <c r="H31" s="1091" t="s">
        <v>1783</v>
      </c>
      <c r="I31" s="1110" t="s">
        <v>1168</v>
      </c>
      <c r="J31" s="1112"/>
      <c r="K31" s="996"/>
      <c r="P31" s="997"/>
      <c r="Q31" s="998"/>
      <c r="R31" s="998"/>
      <c r="S31" s="998"/>
      <c r="T31" s="998"/>
      <c r="U31" s="998"/>
      <c r="V31" s="998"/>
      <c r="W31" s="998"/>
      <c r="X31" s="998"/>
      <c r="Y31" s="998"/>
      <c r="Z31" s="998"/>
      <c r="AA31" s="998"/>
      <c r="AB31" s="998"/>
      <c r="AC31" s="998"/>
      <c r="AD31" s="998"/>
      <c r="AE31" s="998"/>
      <c r="AF31" s="998"/>
      <c r="AG31" s="998"/>
      <c r="AH31" s="998"/>
      <c r="AI31" s="998"/>
      <c r="AJ31" s="998"/>
      <c r="AK31" s="998"/>
      <c r="AL31" s="998"/>
      <c r="AM31" s="998"/>
      <c r="AN31" s="998"/>
      <c r="AO31" s="998"/>
      <c r="AP31" s="998"/>
      <c r="AQ31" s="998"/>
      <c r="AR31" s="998"/>
      <c r="AS31" s="998"/>
      <c r="AT31" s="998"/>
      <c r="AU31" s="998"/>
      <c r="AV31" s="998"/>
      <c r="AW31" s="998"/>
      <c r="AX31" s="998"/>
      <c r="AY31" s="998"/>
      <c r="AZ31" s="998"/>
      <c r="BA31" s="998"/>
      <c r="BB31" s="998"/>
      <c r="BC31" s="998"/>
      <c r="BD31" s="998"/>
      <c r="BE31" s="998"/>
      <c r="BF31" s="998"/>
      <c r="BG31" s="998"/>
      <c r="BH31" s="998"/>
      <c r="BI31" s="998"/>
      <c r="BJ31" s="998"/>
      <c r="BK31" s="998"/>
      <c r="BL31" s="998"/>
      <c r="BM31" s="998"/>
      <c r="BN31" s="998"/>
      <c r="BO31" s="998"/>
      <c r="BP31" s="998"/>
      <c r="BQ31" s="998"/>
      <c r="BR31" s="998"/>
      <c r="BS31" s="998"/>
      <c r="BT31" s="998"/>
      <c r="BU31" s="998"/>
      <c r="BV31" s="998"/>
      <c r="BW31" s="998"/>
      <c r="BX31" s="998"/>
      <c r="BY31" s="998"/>
      <c r="BZ31" s="998"/>
      <c r="CA31" s="998"/>
      <c r="CB31" s="998"/>
      <c r="CC31" s="998"/>
    </row>
    <row r="32" spans="1:81" s="269" customFormat="1" ht="18" customHeight="1" thickBot="1" x14ac:dyDescent="0.35">
      <c r="A32" s="1350"/>
      <c r="B32" s="1351"/>
      <c r="C32" s="1352"/>
      <c r="D32" s="1067" t="s">
        <v>1770</v>
      </c>
      <c r="E32" s="285" t="s">
        <v>1780</v>
      </c>
      <c r="F32" s="1068"/>
      <c r="G32" s="1038"/>
      <c r="H32" s="1068"/>
      <c r="I32" s="1114"/>
      <c r="J32" s="1117"/>
      <c r="K32" s="1071"/>
      <c r="P32" s="997"/>
      <c r="Q32" s="998"/>
      <c r="R32" s="998"/>
      <c r="S32" s="998"/>
      <c r="T32" s="998"/>
      <c r="U32" s="998"/>
      <c r="V32" s="998"/>
      <c r="W32" s="998"/>
      <c r="X32" s="998"/>
      <c r="Y32" s="998"/>
      <c r="Z32" s="998"/>
      <c r="AA32" s="998"/>
      <c r="AB32" s="998"/>
      <c r="AC32" s="998"/>
      <c r="AD32" s="998"/>
      <c r="AE32" s="998"/>
      <c r="AF32" s="998"/>
      <c r="AG32" s="998"/>
      <c r="AH32" s="998"/>
      <c r="AI32" s="998"/>
      <c r="AJ32" s="998"/>
      <c r="AK32" s="998"/>
      <c r="AL32" s="998"/>
      <c r="AM32" s="998"/>
      <c r="AN32" s="998"/>
      <c r="AO32" s="998"/>
      <c r="AP32" s="998"/>
      <c r="AQ32" s="998"/>
      <c r="AR32" s="998"/>
      <c r="AS32" s="998"/>
      <c r="AT32" s="998"/>
      <c r="AU32" s="998"/>
      <c r="AV32" s="998"/>
      <c r="AW32" s="998"/>
      <c r="AX32" s="998"/>
      <c r="AY32" s="998"/>
      <c r="AZ32" s="998"/>
      <c r="BA32" s="998"/>
      <c r="BB32" s="998"/>
      <c r="BC32" s="998"/>
      <c r="BD32" s="998"/>
      <c r="BE32" s="998"/>
      <c r="BF32" s="998"/>
      <c r="BG32" s="998"/>
      <c r="BH32" s="998"/>
      <c r="BI32" s="998"/>
      <c r="BJ32" s="998"/>
      <c r="BK32" s="998"/>
      <c r="BL32" s="998"/>
      <c r="BM32" s="998"/>
      <c r="BN32" s="998"/>
      <c r="BO32" s="998"/>
      <c r="BP32" s="998"/>
      <c r="BQ32" s="998"/>
      <c r="BR32" s="998"/>
      <c r="BS32" s="998"/>
      <c r="BT32" s="998"/>
      <c r="BU32" s="998"/>
      <c r="BV32" s="998"/>
      <c r="BW32" s="998"/>
      <c r="BX32" s="998"/>
      <c r="BY32" s="998"/>
      <c r="BZ32" s="998"/>
      <c r="CA32" s="998"/>
      <c r="CB32" s="998"/>
      <c r="CC32" s="998"/>
    </row>
    <row r="33" spans="1:81" s="269" customFormat="1" ht="74.25" customHeight="1" thickBot="1" x14ac:dyDescent="0.35">
      <c r="A33" s="1375" t="s">
        <v>1784</v>
      </c>
      <c r="B33" s="1375"/>
      <c r="C33" s="1375"/>
      <c r="D33" s="1065" t="b">
        <f>IF(Import!L244=20,"Increase",IF(Import!L244=21,"Decrease",IF(Import!L244=22,"No Change",IF(Import!L244=23,"N/A"))))</f>
        <v>0</v>
      </c>
      <c r="E33" s="1036" t="s">
        <v>1785</v>
      </c>
      <c r="F33" s="1065" t="b">
        <f>D33</f>
        <v>0</v>
      </c>
      <c r="G33" s="1038"/>
      <c r="H33" s="1091" t="s">
        <v>1786</v>
      </c>
      <c r="I33" s="1110" t="s">
        <v>1169</v>
      </c>
      <c r="J33" s="1112"/>
      <c r="K33" s="1072"/>
      <c r="P33" s="997"/>
      <c r="Q33" s="998"/>
      <c r="R33" s="998"/>
      <c r="S33" s="998"/>
      <c r="T33" s="998"/>
      <c r="U33" s="998"/>
      <c r="V33" s="998"/>
      <c r="W33" s="998"/>
      <c r="X33" s="998"/>
      <c r="Y33" s="998"/>
      <c r="Z33" s="998"/>
      <c r="AA33" s="998"/>
      <c r="AB33" s="998"/>
      <c r="AC33" s="998"/>
      <c r="AD33" s="998"/>
      <c r="AE33" s="998"/>
      <c r="AF33" s="998"/>
      <c r="AG33" s="998"/>
      <c r="AH33" s="998"/>
      <c r="AI33" s="998"/>
      <c r="AJ33" s="998"/>
      <c r="AK33" s="998"/>
      <c r="AL33" s="998"/>
      <c r="AM33" s="998"/>
      <c r="AN33" s="998"/>
      <c r="AO33" s="998"/>
      <c r="AP33" s="998"/>
      <c r="AQ33" s="998"/>
      <c r="AR33" s="998"/>
      <c r="AS33" s="998"/>
      <c r="AT33" s="998"/>
      <c r="AU33" s="998"/>
      <c r="AV33" s="998"/>
      <c r="AW33" s="998"/>
      <c r="AX33" s="998"/>
      <c r="AY33" s="998"/>
      <c r="AZ33" s="998"/>
      <c r="BA33" s="998"/>
      <c r="BB33" s="998"/>
      <c r="BC33" s="998"/>
      <c r="BD33" s="998"/>
      <c r="BE33" s="998"/>
      <c r="BF33" s="998"/>
      <c r="BG33" s="998"/>
      <c r="BH33" s="998"/>
      <c r="BI33" s="998"/>
      <c r="BJ33" s="998"/>
      <c r="BK33" s="998"/>
      <c r="BL33" s="998"/>
      <c r="BM33" s="998"/>
      <c r="BN33" s="998"/>
      <c r="BO33" s="998"/>
      <c r="BP33" s="998"/>
      <c r="BQ33" s="998"/>
      <c r="BR33" s="998"/>
      <c r="BS33" s="998"/>
      <c r="BT33" s="998"/>
      <c r="BU33" s="998"/>
      <c r="BV33" s="998"/>
      <c r="BW33" s="998"/>
      <c r="BX33" s="998"/>
      <c r="BY33" s="998"/>
      <c r="BZ33" s="998"/>
      <c r="CA33" s="998"/>
      <c r="CB33" s="998"/>
      <c r="CC33" s="998"/>
    </row>
    <row r="34" spans="1:81" s="269" customFormat="1" ht="18" customHeight="1" thickBot="1" x14ac:dyDescent="0.35">
      <c r="A34" s="1350"/>
      <c r="B34" s="1351"/>
      <c r="C34" s="1352"/>
      <c r="D34" s="1067" t="s">
        <v>1770</v>
      </c>
      <c r="E34" s="285" t="s">
        <v>1780</v>
      </c>
      <c r="F34" s="1068"/>
      <c r="G34" s="1038"/>
      <c r="H34" s="1101"/>
      <c r="I34" s="1114"/>
      <c r="J34" s="1117"/>
      <c r="K34" s="1073"/>
      <c r="P34" s="997"/>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c r="AU34" s="998"/>
      <c r="AV34" s="998"/>
      <c r="AW34" s="998"/>
      <c r="AX34" s="998"/>
      <c r="AY34" s="998"/>
      <c r="AZ34" s="998"/>
      <c r="BA34" s="998"/>
      <c r="BB34" s="998"/>
      <c r="BC34" s="998"/>
      <c r="BD34" s="998"/>
      <c r="BE34" s="998"/>
      <c r="BF34" s="998"/>
      <c r="BG34" s="998"/>
      <c r="BH34" s="998"/>
      <c r="BI34" s="998"/>
      <c r="BJ34" s="998"/>
      <c r="BK34" s="998"/>
      <c r="BL34" s="998"/>
      <c r="BM34" s="998"/>
      <c r="BN34" s="998"/>
      <c r="BO34" s="998"/>
      <c r="BP34" s="998"/>
      <c r="BQ34" s="998"/>
      <c r="BR34" s="998"/>
      <c r="BS34" s="998"/>
      <c r="BT34" s="998"/>
      <c r="BU34" s="998"/>
      <c r="BV34" s="998"/>
      <c r="BW34" s="998"/>
      <c r="BX34" s="998"/>
      <c r="BY34" s="998"/>
      <c r="BZ34" s="998"/>
      <c r="CA34" s="998"/>
      <c r="CB34" s="998"/>
      <c r="CC34" s="998"/>
    </row>
    <row r="35" spans="1:81" s="269" customFormat="1" ht="71.25" customHeight="1" thickBot="1" x14ac:dyDescent="0.35">
      <c r="A35" s="1366" t="s">
        <v>1410</v>
      </c>
      <c r="B35" s="1367"/>
      <c r="C35" s="1368"/>
      <c r="D35" s="1074" t="str">
        <f>IF(Import!L256=1,"Yes",IF(Import!L256=2,"No",IF(Import!L256=0,"This question must be answered")))</f>
        <v>This question must be answered</v>
      </c>
      <c r="E35" s="1036" t="s">
        <v>1173</v>
      </c>
      <c r="F35" s="1036" t="str">
        <f>+D35</f>
        <v>This question must be answered</v>
      </c>
      <c r="G35" s="1038"/>
      <c r="H35" s="1091" t="s">
        <v>1787</v>
      </c>
      <c r="I35" s="1110" t="s">
        <v>1164</v>
      </c>
      <c r="J35" s="1112"/>
      <c r="K35" s="996"/>
      <c r="P35" s="997"/>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c r="AU35" s="998"/>
      <c r="AV35" s="998"/>
      <c r="AW35" s="998"/>
      <c r="AX35" s="998"/>
      <c r="AY35" s="998"/>
      <c r="AZ35" s="998"/>
      <c r="BA35" s="998"/>
      <c r="BB35" s="998"/>
      <c r="BC35" s="998"/>
      <c r="BD35" s="998"/>
      <c r="BE35" s="998"/>
      <c r="BF35" s="998"/>
      <c r="BG35" s="998"/>
      <c r="BH35" s="998"/>
      <c r="BI35" s="998"/>
      <c r="BJ35" s="998"/>
      <c r="BK35" s="998"/>
      <c r="BL35" s="998"/>
      <c r="BM35" s="998"/>
      <c r="BN35" s="998"/>
      <c r="BO35" s="998"/>
      <c r="BP35" s="998"/>
      <c r="BQ35" s="998"/>
      <c r="BR35" s="998"/>
      <c r="BS35" s="998"/>
      <c r="BT35" s="998"/>
      <c r="BU35" s="998"/>
      <c r="BV35" s="998"/>
      <c r="BW35" s="998"/>
      <c r="BX35" s="998"/>
      <c r="BY35" s="998"/>
      <c r="BZ35" s="998"/>
      <c r="CA35" s="998"/>
      <c r="CB35" s="998"/>
      <c r="CC35" s="998"/>
    </row>
    <row r="36" spans="1:81" s="269" customFormat="1" ht="18" customHeight="1" thickBot="1" x14ac:dyDescent="0.35">
      <c r="A36" s="1350"/>
      <c r="B36" s="1351"/>
      <c r="C36" s="1352"/>
      <c r="D36" s="1067" t="s">
        <v>1770</v>
      </c>
      <c r="E36" s="285" t="s">
        <v>1780</v>
      </c>
      <c r="F36" s="1076"/>
      <c r="G36" s="1038"/>
      <c r="H36" s="1101"/>
      <c r="I36" s="1114"/>
      <c r="J36" s="1117"/>
      <c r="K36" s="996"/>
      <c r="P36" s="997"/>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c r="AU36" s="998"/>
      <c r="AV36" s="998"/>
      <c r="AW36" s="998"/>
      <c r="AX36" s="998"/>
      <c r="AY36" s="998"/>
      <c r="AZ36" s="998"/>
      <c r="BA36" s="998"/>
      <c r="BB36" s="998"/>
      <c r="BC36" s="998"/>
      <c r="BD36" s="998"/>
      <c r="BE36" s="998"/>
      <c r="BF36" s="998"/>
      <c r="BG36" s="998"/>
      <c r="BH36" s="998"/>
      <c r="BI36" s="998"/>
      <c r="BJ36" s="998"/>
      <c r="BK36" s="998"/>
      <c r="BL36" s="998"/>
      <c r="BM36" s="998"/>
      <c r="BN36" s="998"/>
      <c r="BO36" s="998"/>
      <c r="BP36" s="998"/>
      <c r="BQ36" s="998"/>
      <c r="BR36" s="998"/>
      <c r="BS36" s="998"/>
      <c r="BT36" s="998"/>
      <c r="BU36" s="998"/>
      <c r="BV36" s="998"/>
      <c r="BW36" s="998"/>
      <c r="BX36" s="998"/>
      <c r="BY36" s="998"/>
      <c r="BZ36" s="998"/>
      <c r="CA36" s="998"/>
      <c r="CB36" s="998"/>
      <c r="CC36" s="998"/>
    </row>
    <row r="37" spans="1:81" s="269" customFormat="1" ht="81" customHeight="1" thickBot="1" x14ac:dyDescent="0.35">
      <c r="A37" s="1366" t="s">
        <v>1355</v>
      </c>
      <c r="B37" s="1367"/>
      <c r="C37" s="1368"/>
      <c r="D37" s="1069" t="str">
        <f>IF(Import!L191&gt;(Import!L155+Import!L158)*0.03,"Yes","No")</f>
        <v>No</v>
      </c>
      <c r="E37" s="1077"/>
      <c r="F37" s="1069" t="str">
        <f>+D37</f>
        <v>No</v>
      </c>
      <c r="G37" s="1038"/>
      <c r="H37" s="1016" t="s">
        <v>1788</v>
      </c>
      <c r="I37" s="1110" t="s">
        <v>1170</v>
      </c>
      <c r="J37" s="1112"/>
      <c r="K37" s="996"/>
      <c r="P37" s="997"/>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c r="AU37" s="998"/>
      <c r="AV37" s="998"/>
      <c r="AW37" s="998"/>
      <c r="AX37" s="998"/>
      <c r="AY37" s="998"/>
      <c r="AZ37" s="998"/>
      <c r="BA37" s="998"/>
      <c r="BB37" s="998"/>
      <c r="BC37" s="998"/>
      <c r="BD37" s="998"/>
      <c r="BE37" s="998"/>
      <c r="BF37" s="998"/>
      <c r="BG37" s="998"/>
      <c r="BH37" s="998"/>
      <c r="BI37" s="998"/>
      <c r="BJ37" s="998"/>
      <c r="BK37" s="998"/>
      <c r="BL37" s="998"/>
      <c r="BM37" s="998"/>
      <c r="BN37" s="998"/>
      <c r="BO37" s="998"/>
      <c r="BP37" s="998"/>
      <c r="BQ37" s="998"/>
      <c r="BR37" s="998"/>
      <c r="BS37" s="998"/>
      <c r="BT37" s="998"/>
      <c r="BU37" s="998"/>
      <c r="BV37" s="998"/>
      <c r="BW37" s="998"/>
      <c r="BX37" s="998"/>
      <c r="BY37" s="998"/>
      <c r="BZ37" s="998"/>
      <c r="CA37" s="998"/>
      <c r="CB37" s="998"/>
      <c r="CC37" s="998"/>
    </row>
    <row r="38" spans="1:81" s="269" customFormat="1" ht="18" customHeight="1" thickBot="1" x14ac:dyDescent="0.35">
      <c r="A38" s="1350"/>
      <c r="B38" s="1351"/>
      <c r="C38" s="1352"/>
      <c r="D38" s="1067" t="s">
        <v>1770</v>
      </c>
      <c r="E38" s="285" t="s">
        <v>1780</v>
      </c>
      <c r="F38" s="1068"/>
      <c r="G38" s="1038"/>
      <c r="H38" s="1068"/>
      <c r="I38" s="1114"/>
      <c r="J38" s="1117"/>
      <c r="K38" s="996"/>
      <c r="P38" s="997"/>
      <c r="Q38" s="998"/>
      <c r="R38" s="998"/>
      <c r="S38" s="998"/>
      <c r="T38" s="998"/>
      <c r="U38" s="998"/>
      <c r="V38" s="998"/>
      <c r="W38" s="998"/>
      <c r="X38" s="998"/>
      <c r="Y38" s="998"/>
      <c r="Z38" s="998"/>
      <c r="AA38" s="998"/>
      <c r="AB38" s="998"/>
      <c r="AC38" s="998"/>
      <c r="AD38" s="998"/>
      <c r="AE38" s="998"/>
      <c r="AF38" s="998"/>
      <c r="AG38" s="998"/>
      <c r="AH38" s="998"/>
      <c r="AI38" s="998"/>
      <c r="AJ38" s="998"/>
      <c r="AK38" s="998"/>
      <c r="AL38" s="998"/>
      <c r="AM38" s="998"/>
      <c r="AN38" s="998"/>
      <c r="AO38" s="998"/>
      <c r="AP38" s="998"/>
      <c r="AQ38" s="998"/>
      <c r="AR38" s="998"/>
      <c r="AS38" s="998"/>
      <c r="AT38" s="998"/>
      <c r="AU38" s="998"/>
      <c r="AV38" s="998"/>
      <c r="AW38" s="998"/>
      <c r="AX38" s="998"/>
      <c r="AY38" s="998"/>
      <c r="AZ38" s="998"/>
      <c r="BA38" s="998"/>
      <c r="BB38" s="998"/>
      <c r="BC38" s="998"/>
      <c r="BD38" s="998"/>
      <c r="BE38" s="998"/>
      <c r="BF38" s="998"/>
      <c r="BG38" s="998"/>
      <c r="BH38" s="998"/>
      <c r="BI38" s="998"/>
      <c r="BJ38" s="998"/>
      <c r="BK38" s="998"/>
      <c r="BL38" s="998"/>
      <c r="BM38" s="998"/>
      <c r="BN38" s="998"/>
      <c r="BO38" s="998"/>
      <c r="BP38" s="998"/>
      <c r="BQ38" s="998"/>
      <c r="BR38" s="998"/>
      <c r="BS38" s="998"/>
      <c r="BT38" s="998"/>
      <c r="BU38" s="998"/>
      <c r="BV38" s="998"/>
      <c r="BW38" s="998"/>
      <c r="BX38" s="998"/>
      <c r="BY38" s="998"/>
      <c r="BZ38" s="998"/>
      <c r="CA38" s="998"/>
      <c r="CB38" s="998"/>
      <c r="CC38" s="998"/>
    </row>
    <row r="39" spans="1:81" s="269" customFormat="1" ht="128.25" customHeight="1" thickBot="1" x14ac:dyDescent="0.35">
      <c r="A39" s="1391" t="s">
        <v>1789</v>
      </c>
      <c r="B39" s="1391"/>
      <c r="C39" s="1391"/>
      <c r="D39" s="1036" t="str">
        <f>IFERROR(VLOOKUP(B5,UAL!A3:D141,4,FALSE),"Unit is not on the Unit Assistance List at this time")</f>
        <v>Unit is not on the Unit Assistance List at this time</v>
      </c>
      <c r="E39" s="1036" t="s">
        <v>1693</v>
      </c>
      <c r="F39" s="1036" t="str">
        <f>D39</f>
        <v>Unit is not on the Unit Assistance List at this time</v>
      </c>
      <c r="G39" s="1054"/>
      <c r="H39" s="1102" t="str">
        <f>IF(D39="Unit is not on the Unit Assistance List at this time","N/A-Unit is not on the Unit Assistance List.",L39)</f>
        <v>N/A-Unit is not on the Unit Assistance List.</v>
      </c>
      <c r="I39" s="1115"/>
      <c r="J39" s="1112"/>
      <c r="K39" s="996"/>
      <c r="L39" s="269" t="s">
        <v>1445</v>
      </c>
      <c r="P39" s="997"/>
      <c r="Q39" s="998"/>
      <c r="R39" s="998"/>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c r="AU39" s="998"/>
      <c r="AV39" s="998"/>
      <c r="AW39" s="998"/>
      <c r="AX39" s="998"/>
      <c r="AY39" s="998"/>
      <c r="AZ39" s="998"/>
      <c r="BA39" s="998"/>
      <c r="BB39" s="998"/>
      <c r="BC39" s="998"/>
      <c r="BD39" s="998"/>
      <c r="BE39" s="998"/>
      <c r="BF39" s="998"/>
      <c r="BG39" s="998"/>
      <c r="BH39" s="998"/>
      <c r="BI39" s="998"/>
      <c r="BJ39" s="998"/>
      <c r="BK39" s="998"/>
      <c r="BL39" s="998"/>
      <c r="BM39" s="998"/>
      <c r="BN39" s="998"/>
      <c r="BO39" s="998"/>
      <c r="BP39" s="998"/>
      <c r="BQ39" s="998"/>
      <c r="BR39" s="998"/>
      <c r="BS39" s="998"/>
      <c r="BT39" s="998"/>
      <c r="BU39" s="998"/>
      <c r="BV39" s="998"/>
      <c r="BW39" s="998"/>
      <c r="BX39" s="998"/>
      <c r="BY39" s="998"/>
      <c r="BZ39" s="998"/>
      <c r="CA39" s="998"/>
      <c r="CB39" s="998"/>
      <c r="CC39" s="998"/>
    </row>
    <row r="40" spans="1:81" s="269" customFormat="1" ht="18" customHeight="1" thickBot="1" x14ac:dyDescent="0.35">
      <c r="A40" s="1350"/>
      <c r="B40" s="1351"/>
      <c r="C40" s="1352"/>
      <c r="D40" s="1067" t="s">
        <v>1770</v>
      </c>
      <c r="E40" s="285" t="s">
        <v>1780</v>
      </c>
      <c r="F40" s="1068"/>
      <c r="G40" s="1038"/>
      <c r="H40" s="1101"/>
      <c r="I40" s="1114"/>
      <c r="J40" s="1117"/>
      <c r="K40" s="996"/>
      <c r="P40" s="997"/>
      <c r="Q40" s="998"/>
      <c r="R40" s="998"/>
      <c r="S40" s="998"/>
      <c r="T40" s="998"/>
      <c r="U40" s="998"/>
      <c r="V40" s="998"/>
      <c r="W40" s="998"/>
      <c r="X40" s="998"/>
      <c r="Y40" s="998"/>
      <c r="Z40" s="998"/>
      <c r="AA40" s="998"/>
      <c r="AB40" s="998"/>
      <c r="AC40" s="998"/>
      <c r="AD40" s="998"/>
      <c r="AE40" s="998"/>
      <c r="AF40" s="998"/>
      <c r="AG40" s="998"/>
      <c r="AH40" s="998"/>
      <c r="AI40" s="998"/>
      <c r="AJ40" s="998"/>
      <c r="AK40" s="998"/>
      <c r="AL40" s="998"/>
      <c r="AM40" s="998"/>
      <c r="AN40" s="998"/>
      <c r="AO40" s="998"/>
      <c r="AP40" s="998"/>
      <c r="AQ40" s="998"/>
      <c r="AR40" s="998"/>
      <c r="AS40" s="998"/>
      <c r="AT40" s="998"/>
      <c r="AU40" s="998"/>
      <c r="AV40" s="998"/>
      <c r="AW40" s="998"/>
      <c r="AX40" s="998"/>
      <c r="AY40" s="998"/>
      <c r="AZ40" s="998"/>
      <c r="BA40" s="998"/>
      <c r="BB40" s="998"/>
      <c r="BC40" s="998"/>
      <c r="BD40" s="998"/>
      <c r="BE40" s="998"/>
      <c r="BF40" s="998"/>
      <c r="BG40" s="998"/>
      <c r="BH40" s="998"/>
      <c r="BI40" s="998"/>
      <c r="BJ40" s="998"/>
      <c r="BK40" s="998"/>
      <c r="BL40" s="998"/>
      <c r="BM40" s="998"/>
      <c r="BN40" s="998"/>
      <c r="BO40" s="998"/>
      <c r="BP40" s="998"/>
      <c r="BQ40" s="998"/>
      <c r="BR40" s="998"/>
      <c r="BS40" s="998"/>
      <c r="BT40" s="998"/>
      <c r="BU40" s="998"/>
      <c r="BV40" s="998"/>
      <c r="BW40" s="998"/>
      <c r="BX40" s="998"/>
      <c r="BY40" s="998"/>
      <c r="BZ40" s="998"/>
      <c r="CA40" s="998"/>
      <c r="CB40" s="998"/>
      <c r="CC40" s="998"/>
    </row>
    <row r="41" spans="1:81" s="269" customFormat="1" ht="59.25" customHeight="1" thickBot="1" x14ac:dyDescent="0.35">
      <c r="A41" s="1369" t="s">
        <v>1412</v>
      </c>
      <c r="B41" s="1370"/>
      <c r="C41" s="1392"/>
      <c r="D41" s="1043" t="str">
        <f>IF(Import!L257=1,"Yes",IF(Import!L257=2,"No",IF(Import!L257="0","This questions must be answered")))</f>
        <v>This questions must be answered</v>
      </c>
      <c r="E41" s="1078"/>
      <c r="F41" s="1043" t="str">
        <f>+D41</f>
        <v>This questions must be answered</v>
      </c>
      <c r="G41" s="1038"/>
      <c r="H41" s="1091" t="s">
        <v>1790</v>
      </c>
      <c r="I41" s="1116" t="s">
        <v>1171</v>
      </c>
      <c r="J41" s="1112"/>
      <c r="K41" s="996"/>
      <c r="P41" s="997"/>
      <c r="Q41" s="998"/>
      <c r="R41" s="998"/>
      <c r="S41" s="998"/>
      <c r="T41" s="998"/>
      <c r="U41" s="998"/>
      <c r="V41" s="998"/>
      <c r="W41" s="998"/>
      <c r="X41" s="998"/>
      <c r="Y41" s="998"/>
      <c r="Z41" s="998"/>
      <c r="AA41" s="998"/>
      <c r="AB41" s="998"/>
      <c r="AC41" s="998"/>
      <c r="AD41" s="998"/>
      <c r="AE41" s="998"/>
      <c r="AF41" s="998"/>
      <c r="AG41" s="998"/>
      <c r="AH41" s="998"/>
      <c r="AI41" s="998"/>
      <c r="AJ41" s="998"/>
      <c r="AK41" s="998"/>
      <c r="AL41" s="998"/>
      <c r="AM41" s="998"/>
      <c r="AN41" s="998"/>
      <c r="AO41" s="998"/>
      <c r="AP41" s="998"/>
      <c r="AQ41" s="998"/>
      <c r="AR41" s="998"/>
      <c r="AS41" s="998"/>
      <c r="AT41" s="998"/>
      <c r="AU41" s="998"/>
      <c r="AV41" s="998"/>
      <c r="AW41" s="998"/>
      <c r="AX41" s="998"/>
      <c r="AY41" s="998"/>
      <c r="AZ41" s="998"/>
      <c r="BA41" s="998"/>
      <c r="BB41" s="998"/>
      <c r="BC41" s="998"/>
      <c r="BD41" s="998"/>
      <c r="BE41" s="998"/>
      <c r="BF41" s="998"/>
      <c r="BG41" s="998"/>
      <c r="BH41" s="998"/>
      <c r="BI41" s="998"/>
      <c r="BJ41" s="998"/>
      <c r="BK41" s="998"/>
      <c r="BL41" s="998"/>
      <c r="BM41" s="998"/>
      <c r="BN41" s="998"/>
      <c r="BO41" s="998"/>
      <c r="BP41" s="998"/>
      <c r="BQ41" s="998"/>
      <c r="BR41" s="998"/>
      <c r="BS41" s="998"/>
      <c r="BT41" s="998"/>
      <c r="BU41" s="998"/>
      <c r="BV41" s="998"/>
      <c r="BW41" s="998"/>
      <c r="BX41" s="998"/>
      <c r="BY41" s="998"/>
      <c r="BZ41" s="998"/>
      <c r="CA41" s="998"/>
      <c r="CB41" s="998"/>
      <c r="CC41" s="998"/>
    </row>
    <row r="42" spans="1:81" s="269" customFormat="1" ht="18" customHeight="1" thickBot="1" x14ac:dyDescent="0.35">
      <c r="A42" s="1369" t="s">
        <v>1779</v>
      </c>
      <c r="B42" s="1370"/>
      <c r="C42" s="1374"/>
      <c r="D42" s="1067" t="s">
        <v>1770</v>
      </c>
      <c r="E42" s="285" t="s">
        <v>1780</v>
      </c>
      <c r="F42" s="1076"/>
      <c r="G42" s="1038"/>
      <c r="H42" s="1068"/>
      <c r="I42" s="1110"/>
      <c r="J42" s="1117"/>
      <c r="K42" s="996"/>
      <c r="P42" s="997"/>
      <c r="Q42" s="998"/>
      <c r="R42" s="998"/>
      <c r="S42" s="998"/>
      <c r="T42" s="998"/>
      <c r="U42" s="998"/>
      <c r="V42" s="998"/>
      <c r="W42" s="998"/>
      <c r="X42" s="998"/>
      <c r="Y42" s="998"/>
      <c r="Z42" s="998"/>
      <c r="AA42" s="998"/>
      <c r="AB42" s="998"/>
      <c r="AC42" s="998"/>
      <c r="AD42" s="998"/>
      <c r="AE42" s="998"/>
      <c r="AF42" s="998"/>
      <c r="AG42" s="998"/>
      <c r="AH42" s="998"/>
      <c r="AI42" s="998"/>
      <c r="AJ42" s="998"/>
      <c r="AK42" s="998"/>
      <c r="AL42" s="998"/>
      <c r="AM42" s="998"/>
      <c r="AN42" s="998"/>
      <c r="AO42" s="998"/>
      <c r="AP42" s="998"/>
      <c r="AQ42" s="998"/>
      <c r="AR42" s="998"/>
      <c r="AS42" s="998"/>
      <c r="AT42" s="998"/>
      <c r="AU42" s="998"/>
      <c r="AV42" s="998"/>
      <c r="AW42" s="998"/>
      <c r="AX42" s="998"/>
      <c r="AY42" s="998"/>
      <c r="AZ42" s="998"/>
      <c r="BA42" s="998"/>
      <c r="BB42" s="998"/>
      <c r="BC42" s="998"/>
      <c r="BD42" s="998"/>
      <c r="BE42" s="998"/>
      <c r="BF42" s="998"/>
      <c r="BG42" s="998"/>
      <c r="BH42" s="998"/>
      <c r="BI42" s="998"/>
      <c r="BJ42" s="998"/>
      <c r="BK42" s="998"/>
      <c r="BL42" s="998"/>
      <c r="BM42" s="998"/>
      <c r="BN42" s="998"/>
      <c r="BO42" s="998"/>
      <c r="BP42" s="998"/>
      <c r="BQ42" s="998"/>
      <c r="BR42" s="998"/>
      <c r="BS42" s="998"/>
      <c r="BT42" s="998"/>
      <c r="BU42" s="998"/>
      <c r="BV42" s="998"/>
      <c r="BW42" s="998"/>
      <c r="BX42" s="998"/>
      <c r="BY42" s="998"/>
      <c r="BZ42" s="998"/>
      <c r="CA42" s="998"/>
      <c r="CB42" s="998"/>
      <c r="CC42" s="998"/>
    </row>
    <row r="43" spans="1:81" s="269" customFormat="1" ht="64.5" customHeight="1" thickBot="1" x14ac:dyDescent="0.35">
      <c r="A43" s="1366" t="s">
        <v>1429</v>
      </c>
      <c r="B43" s="1367"/>
      <c r="C43" s="1368"/>
      <c r="D43" s="1043" t="str">
        <f>IF(Import!L253=1,"Yes",IF(Import!L253=2,"No",IF(Import!L253=3,"N/A",IF(Import!L253=0,"This question must be answered"))))</f>
        <v>This question must be answered</v>
      </c>
      <c r="E43" s="1078"/>
      <c r="F43" s="1043" t="str">
        <f>D43</f>
        <v>This question must be answered</v>
      </c>
      <c r="G43" s="1038"/>
      <c r="H43" s="1091" t="s">
        <v>1791</v>
      </c>
      <c r="I43" s="1110" t="s">
        <v>1430</v>
      </c>
      <c r="J43" s="1112"/>
      <c r="K43" s="996"/>
      <c r="P43" s="997"/>
      <c r="Q43" s="998"/>
      <c r="R43" s="998"/>
      <c r="S43" s="998"/>
      <c r="T43" s="998"/>
      <c r="U43" s="998"/>
      <c r="V43" s="998"/>
      <c r="W43" s="998"/>
      <c r="X43" s="998"/>
      <c r="Y43" s="998"/>
      <c r="Z43" s="998"/>
      <c r="AA43" s="998"/>
      <c r="AB43" s="998"/>
      <c r="AC43" s="998"/>
      <c r="AD43" s="998"/>
      <c r="AE43" s="998"/>
      <c r="AF43" s="998"/>
      <c r="AG43" s="998"/>
      <c r="AH43" s="998"/>
      <c r="AI43" s="998"/>
      <c r="AJ43" s="998"/>
      <c r="AK43" s="998"/>
      <c r="AL43" s="998"/>
      <c r="AM43" s="998"/>
      <c r="AN43" s="998"/>
      <c r="AO43" s="998"/>
      <c r="AP43" s="998"/>
      <c r="AQ43" s="998"/>
      <c r="AR43" s="998"/>
      <c r="AS43" s="998"/>
      <c r="AT43" s="998"/>
      <c r="AU43" s="998"/>
      <c r="AV43" s="998"/>
      <c r="AW43" s="998"/>
      <c r="AX43" s="998"/>
      <c r="AY43" s="998"/>
      <c r="AZ43" s="998"/>
      <c r="BA43" s="998"/>
      <c r="BB43" s="998"/>
      <c r="BC43" s="998"/>
      <c r="BD43" s="998"/>
      <c r="BE43" s="998"/>
      <c r="BF43" s="998"/>
      <c r="BG43" s="998"/>
      <c r="BH43" s="998"/>
      <c r="BI43" s="998"/>
      <c r="BJ43" s="998"/>
      <c r="BK43" s="998"/>
      <c r="BL43" s="998"/>
      <c r="BM43" s="998"/>
      <c r="BN43" s="998"/>
      <c r="BO43" s="998"/>
      <c r="BP43" s="998"/>
      <c r="BQ43" s="998"/>
      <c r="BR43" s="998"/>
      <c r="BS43" s="998"/>
      <c r="BT43" s="998"/>
      <c r="BU43" s="998"/>
      <c r="BV43" s="998"/>
      <c r="BW43" s="998"/>
      <c r="BX43" s="998"/>
      <c r="BY43" s="998"/>
      <c r="BZ43" s="998"/>
      <c r="CA43" s="998"/>
      <c r="CB43" s="998"/>
      <c r="CC43" s="998"/>
    </row>
    <row r="44" spans="1:81" s="269" customFormat="1" ht="18" customHeight="1" thickBot="1" x14ac:dyDescent="0.35">
      <c r="A44" s="1350"/>
      <c r="B44" s="1351"/>
      <c r="C44" s="1352"/>
      <c r="D44" s="1067" t="s">
        <v>1770</v>
      </c>
      <c r="E44" s="285" t="s">
        <v>1780</v>
      </c>
      <c r="F44" s="1068"/>
      <c r="G44" s="1038"/>
      <c r="H44" s="1101"/>
      <c r="I44" s="1110"/>
      <c r="J44" s="1117"/>
      <c r="K44" s="996"/>
      <c r="P44" s="997"/>
      <c r="Q44" s="998"/>
      <c r="R44" s="998"/>
      <c r="S44" s="998"/>
      <c r="T44" s="998"/>
      <c r="U44" s="998"/>
      <c r="V44" s="998"/>
      <c r="W44" s="998"/>
      <c r="X44" s="998"/>
      <c r="Y44" s="998"/>
      <c r="Z44" s="998"/>
      <c r="AA44" s="998"/>
      <c r="AB44" s="998"/>
      <c r="AC44" s="998"/>
      <c r="AD44" s="998"/>
      <c r="AE44" s="998"/>
      <c r="AF44" s="998"/>
      <c r="AG44" s="998"/>
      <c r="AH44" s="998"/>
      <c r="AI44" s="998"/>
      <c r="AJ44" s="998"/>
      <c r="AK44" s="998"/>
      <c r="AL44" s="998"/>
      <c r="AM44" s="998"/>
      <c r="AN44" s="998"/>
      <c r="AO44" s="998"/>
      <c r="AP44" s="998"/>
      <c r="AQ44" s="998"/>
      <c r="AR44" s="998"/>
      <c r="AS44" s="998"/>
      <c r="AT44" s="998"/>
      <c r="AU44" s="998"/>
      <c r="AV44" s="998"/>
      <c r="AW44" s="998"/>
      <c r="AX44" s="998"/>
      <c r="AY44" s="998"/>
      <c r="AZ44" s="998"/>
      <c r="BA44" s="998"/>
      <c r="BB44" s="998"/>
      <c r="BC44" s="998"/>
      <c r="BD44" s="998"/>
      <c r="BE44" s="998"/>
      <c r="BF44" s="998"/>
      <c r="BG44" s="998"/>
      <c r="BH44" s="998"/>
      <c r="BI44" s="998"/>
      <c r="BJ44" s="998"/>
      <c r="BK44" s="998"/>
      <c r="BL44" s="998"/>
      <c r="BM44" s="998"/>
      <c r="BN44" s="998"/>
      <c r="BO44" s="998"/>
      <c r="BP44" s="998"/>
      <c r="BQ44" s="998"/>
      <c r="BR44" s="998"/>
      <c r="BS44" s="998"/>
      <c r="BT44" s="998"/>
      <c r="BU44" s="998"/>
      <c r="BV44" s="998"/>
      <c r="BW44" s="998"/>
      <c r="BX44" s="998"/>
      <c r="BY44" s="998"/>
      <c r="BZ44" s="998"/>
      <c r="CA44" s="998"/>
      <c r="CB44" s="998"/>
      <c r="CC44" s="998"/>
    </row>
    <row r="45" spans="1:81" s="269" customFormat="1" ht="67.5" customHeight="1" thickBot="1" x14ac:dyDescent="0.35">
      <c r="A45" s="1366" t="s">
        <v>1694</v>
      </c>
      <c r="B45" s="1367"/>
      <c r="C45" s="1368"/>
      <c r="D45" s="1065" t="b">
        <f>IF(Import!L193=1,"Yes",IF(Import!L193=2,"No",IF(Import!L193=3,"N/A")))</f>
        <v>0</v>
      </c>
      <c r="E45" s="1078"/>
      <c r="F45" s="1065" t="b">
        <f>+D45</f>
        <v>0</v>
      </c>
      <c r="G45" s="1038"/>
      <c r="H45" s="1091" t="s">
        <v>1792</v>
      </c>
      <c r="I45" s="1110" t="s">
        <v>1213</v>
      </c>
      <c r="J45" s="1112"/>
      <c r="K45" s="996"/>
      <c r="P45" s="997"/>
      <c r="Q45" s="998"/>
      <c r="R45" s="998"/>
      <c r="S45" s="998"/>
      <c r="T45" s="998"/>
      <c r="U45" s="998"/>
      <c r="V45" s="998"/>
      <c r="W45" s="998"/>
      <c r="X45" s="998"/>
      <c r="Y45" s="998"/>
      <c r="Z45" s="998"/>
      <c r="AA45" s="998"/>
      <c r="AB45" s="998"/>
      <c r="AC45" s="998"/>
      <c r="AD45" s="998"/>
      <c r="AE45" s="998"/>
      <c r="AF45" s="998"/>
      <c r="AG45" s="998"/>
      <c r="AH45" s="998"/>
      <c r="AI45" s="998"/>
      <c r="AJ45" s="998"/>
      <c r="AK45" s="998"/>
      <c r="AL45" s="998"/>
      <c r="AM45" s="998"/>
      <c r="AN45" s="998"/>
      <c r="AO45" s="998"/>
      <c r="AP45" s="998"/>
      <c r="AQ45" s="998"/>
      <c r="AR45" s="998"/>
      <c r="AS45" s="998"/>
      <c r="AT45" s="998"/>
      <c r="AU45" s="998"/>
      <c r="AV45" s="998"/>
      <c r="AW45" s="998"/>
      <c r="AX45" s="998"/>
      <c r="AY45" s="998"/>
      <c r="AZ45" s="998"/>
      <c r="BA45" s="998"/>
      <c r="BB45" s="998"/>
      <c r="BC45" s="998"/>
      <c r="BD45" s="998"/>
      <c r="BE45" s="998"/>
      <c r="BF45" s="998"/>
      <c r="BG45" s="998"/>
      <c r="BH45" s="998"/>
      <c r="BI45" s="998"/>
      <c r="BJ45" s="998"/>
      <c r="BK45" s="998"/>
      <c r="BL45" s="998"/>
      <c r="BM45" s="998"/>
      <c r="BN45" s="998"/>
      <c r="BO45" s="998"/>
      <c r="BP45" s="998"/>
      <c r="BQ45" s="998"/>
      <c r="BR45" s="998"/>
      <c r="BS45" s="998"/>
      <c r="BT45" s="998"/>
      <c r="BU45" s="998"/>
      <c r="BV45" s="998"/>
      <c r="BW45" s="998"/>
      <c r="BX45" s="998"/>
      <c r="BY45" s="998"/>
      <c r="BZ45" s="998"/>
      <c r="CA45" s="998"/>
      <c r="CB45" s="998"/>
      <c r="CC45" s="998"/>
    </row>
    <row r="46" spans="1:81" s="269" customFormat="1" ht="18" customHeight="1" thickBot="1" x14ac:dyDescent="0.35">
      <c r="A46" s="1350"/>
      <c r="B46" s="1351"/>
      <c r="C46" s="1352"/>
      <c r="D46" s="1067" t="s">
        <v>1770</v>
      </c>
      <c r="E46" s="285" t="s">
        <v>1780</v>
      </c>
      <c r="F46" s="1068"/>
      <c r="G46" s="1038"/>
      <c r="H46" s="1101"/>
      <c r="I46" s="1114"/>
      <c r="J46" s="1117"/>
      <c r="K46" s="996"/>
      <c r="P46" s="997"/>
      <c r="Q46" s="998"/>
      <c r="R46" s="998"/>
      <c r="S46" s="998"/>
      <c r="T46" s="998"/>
      <c r="U46" s="998"/>
      <c r="V46" s="998"/>
      <c r="W46" s="998"/>
      <c r="X46" s="998"/>
      <c r="Y46" s="998"/>
      <c r="Z46" s="998"/>
      <c r="AA46" s="998"/>
      <c r="AB46" s="998"/>
      <c r="AC46" s="998"/>
      <c r="AD46" s="998"/>
      <c r="AE46" s="998"/>
      <c r="AF46" s="998"/>
      <c r="AG46" s="998"/>
      <c r="AH46" s="998"/>
      <c r="AI46" s="998"/>
      <c r="AJ46" s="998"/>
      <c r="AK46" s="998"/>
      <c r="AL46" s="998"/>
      <c r="AM46" s="998"/>
      <c r="AN46" s="998"/>
      <c r="AO46" s="998"/>
      <c r="AP46" s="998"/>
      <c r="AQ46" s="998"/>
      <c r="AR46" s="998"/>
      <c r="AS46" s="998"/>
      <c r="AT46" s="998"/>
      <c r="AU46" s="998"/>
      <c r="AV46" s="998"/>
      <c r="AW46" s="998"/>
      <c r="AX46" s="998"/>
      <c r="AY46" s="998"/>
      <c r="AZ46" s="998"/>
      <c r="BA46" s="998"/>
      <c r="BB46" s="998"/>
      <c r="BC46" s="998"/>
      <c r="BD46" s="998"/>
      <c r="BE46" s="998"/>
      <c r="BF46" s="998"/>
      <c r="BG46" s="998"/>
      <c r="BH46" s="998"/>
      <c r="BI46" s="998"/>
      <c r="BJ46" s="998"/>
      <c r="BK46" s="998"/>
      <c r="BL46" s="998"/>
      <c r="BM46" s="998"/>
      <c r="BN46" s="998"/>
      <c r="BO46" s="998"/>
      <c r="BP46" s="998"/>
      <c r="BQ46" s="998"/>
      <c r="BR46" s="998"/>
      <c r="BS46" s="998"/>
      <c r="BT46" s="998"/>
      <c r="BU46" s="998"/>
      <c r="BV46" s="998"/>
      <c r="BW46" s="998"/>
      <c r="BX46" s="998"/>
      <c r="BY46" s="998"/>
      <c r="BZ46" s="998"/>
      <c r="CA46" s="998"/>
      <c r="CB46" s="998"/>
      <c r="CC46" s="998"/>
    </row>
    <row r="47" spans="1:81" s="269" customFormat="1" ht="68.25" customHeight="1" thickBot="1" x14ac:dyDescent="0.35">
      <c r="A47" s="1366" t="s">
        <v>1142</v>
      </c>
      <c r="B47" s="1367"/>
      <c r="C47" s="1368"/>
      <c r="D47" s="1079" t="e">
        <f>+M47+N47+L47+Import!L250+Import!L251+Import!L254</f>
        <v>#VALUE!</v>
      </c>
      <c r="E47" s="1078"/>
      <c r="F47" s="1080"/>
      <c r="G47" s="1038"/>
      <c r="H47" s="1091" t="s">
        <v>1793</v>
      </c>
      <c r="I47" s="1110" t="s">
        <v>1165</v>
      </c>
      <c r="J47" s="1112"/>
      <c r="K47" s="996"/>
      <c r="L47" s="1021">
        <f>IF(Import!L247=1,1,0)</f>
        <v>0</v>
      </c>
      <c r="M47" s="1021">
        <f>IF(Import!L248=1,1,0)</f>
        <v>0</v>
      </c>
      <c r="N47" s="1021">
        <f>IF(Import!L249=1,1,0)</f>
        <v>0</v>
      </c>
      <c r="P47" s="997"/>
      <c r="Q47" s="998"/>
      <c r="R47" s="998"/>
      <c r="S47" s="998"/>
      <c r="T47" s="998"/>
      <c r="U47" s="998"/>
      <c r="V47" s="998"/>
      <c r="W47" s="998"/>
      <c r="X47" s="998"/>
      <c r="Y47" s="998"/>
      <c r="Z47" s="998"/>
      <c r="AA47" s="998"/>
      <c r="AB47" s="998"/>
      <c r="AC47" s="998"/>
      <c r="AD47" s="998"/>
      <c r="AE47" s="998"/>
      <c r="AF47" s="998"/>
      <c r="AG47" s="998"/>
      <c r="AH47" s="998"/>
      <c r="AI47" s="998"/>
      <c r="AJ47" s="998"/>
      <c r="AK47" s="998"/>
      <c r="AL47" s="998"/>
      <c r="AM47" s="998"/>
      <c r="AN47" s="998"/>
      <c r="AO47" s="998"/>
      <c r="AP47" s="998"/>
      <c r="AQ47" s="998"/>
      <c r="AR47" s="998"/>
      <c r="AS47" s="998"/>
      <c r="AT47" s="998"/>
      <c r="AU47" s="998"/>
      <c r="AV47" s="998"/>
      <c r="AW47" s="998"/>
      <c r="AX47" s="998"/>
      <c r="AY47" s="998"/>
      <c r="AZ47" s="998"/>
      <c r="BA47" s="998"/>
      <c r="BB47" s="998"/>
      <c r="BC47" s="998"/>
      <c r="BD47" s="998"/>
      <c r="BE47" s="998"/>
      <c r="BF47" s="998"/>
      <c r="BG47" s="998"/>
      <c r="BH47" s="998"/>
      <c r="BI47" s="998"/>
      <c r="BJ47" s="998"/>
      <c r="BK47" s="998"/>
      <c r="BL47" s="998"/>
      <c r="BM47" s="998"/>
      <c r="BN47" s="998"/>
      <c r="BO47" s="998"/>
      <c r="BP47" s="998"/>
      <c r="BQ47" s="998"/>
      <c r="BR47" s="998"/>
      <c r="BS47" s="998"/>
      <c r="BT47" s="998"/>
      <c r="BU47" s="998"/>
      <c r="BV47" s="998"/>
      <c r="BW47" s="998"/>
      <c r="BX47" s="998"/>
      <c r="BY47" s="998"/>
      <c r="BZ47" s="998"/>
      <c r="CA47" s="998"/>
      <c r="CB47" s="998"/>
      <c r="CC47" s="998"/>
    </row>
    <row r="48" spans="1:81" s="269" customFormat="1" ht="18" customHeight="1" thickBot="1" x14ac:dyDescent="0.35">
      <c r="A48" s="1350"/>
      <c r="B48" s="1351"/>
      <c r="C48" s="1352"/>
      <c r="D48" s="1067" t="s">
        <v>1770</v>
      </c>
      <c r="E48" s="285" t="s">
        <v>1780</v>
      </c>
      <c r="F48" s="1068"/>
      <c r="G48" s="1038"/>
      <c r="H48" s="1101"/>
      <c r="I48" s="1110"/>
      <c r="J48" s="1117"/>
      <c r="K48" s="996"/>
      <c r="P48" s="997"/>
      <c r="Q48" s="998"/>
      <c r="R48" s="998"/>
      <c r="S48" s="998"/>
      <c r="T48" s="998"/>
      <c r="U48" s="998"/>
      <c r="V48" s="998"/>
      <c r="W48" s="998"/>
      <c r="X48" s="998"/>
      <c r="Y48" s="998"/>
      <c r="Z48" s="998"/>
      <c r="AA48" s="998"/>
      <c r="AB48" s="998"/>
      <c r="AC48" s="998"/>
      <c r="AD48" s="998"/>
      <c r="AE48" s="998"/>
      <c r="AF48" s="998"/>
      <c r="AG48" s="998"/>
      <c r="AH48" s="998"/>
      <c r="AI48" s="998"/>
      <c r="AJ48" s="998"/>
      <c r="AK48" s="998"/>
      <c r="AL48" s="998"/>
      <c r="AM48" s="998"/>
      <c r="AN48" s="998"/>
      <c r="AO48" s="998"/>
      <c r="AP48" s="998"/>
      <c r="AQ48" s="998"/>
      <c r="AR48" s="998"/>
      <c r="AS48" s="998"/>
      <c r="AT48" s="998"/>
      <c r="AU48" s="998"/>
      <c r="AV48" s="998"/>
      <c r="AW48" s="998"/>
      <c r="AX48" s="998"/>
      <c r="AY48" s="998"/>
      <c r="AZ48" s="998"/>
      <c r="BA48" s="998"/>
      <c r="BB48" s="998"/>
      <c r="BC48" s="998"/>
      <c r="BD48" s="998"/>
      <c r="BE48" s="998"/>
      <c r="BF48" s="998"/>
      <c r="BG48" s="998"/>
      <c r="BH48" s="998"/>
      <c r="BI48" s="998"/>
      <c r="BJ48" s="998"/>
      <c r="BK48" s="998"/>
      <c r="BL48" s="998"/>
      <c r="BM48" s="998"/>
      <c r="BN48" s="998"/>
      <c r="BO48" s="998"/>
      <c r="BP48" s="998"/>
      <c r="BQ48" s="998"/>
      <c r="BR48" s="998"/>
      <c r="BS48" s="998"/>
      <c r="BT48" s="998"/>
      <c r="BU48" s="998"/>
      <c r="BV48" s="998"/>
      <c r="BW48" s="998"/>
      <c r="BX48" s="998"/>
      <c r="BY48" s="998"/>
      <c r="BZ48" s="998"/>
      <c r="CA48" s="998"/>
      <c r="CB48" s="998"/>
      <c r="CC48" s="998"/>
    </row>
    <row r="49" spans="1:81" s="269" customFormat="1" ht="114.75" customHeight="1" thickBot="1" x14ac:dyDescent="0.35">
      <c r="A49" s="1375" t="s">
        <v>1172</v>
      </c>
      <c r="B49" s="1375"/>
      <c r="C49" s="1375"/>
      <c r="D49" s="1075" t="e">
        <f>IF('Electric trans'!F29="No, unit exceeds limit by:","Yes","No")</f>
        <v>#N/A</v>
      </c>
      <c r="E49" s="1078"/>
      <c r="F49" s="1075" t="e">
        <f>+D49</f>
        <v>#N/A</v>
      </c>
      <c r="G49" s="1038"/>
      <c r="H49" s="1091" t="s">
        <v>1794</v>
      </c>
      <c r="I49" s="1110" t="s">
        <v>1223</v>
      </c>
      <c r="J49" s="1112"/>
      <c r="K49" s="996"/>
      <c r="P49" s="997"/>
      <c r="Q49" s="998"/>
      <c r="R49" s="998"/>
      <c r="S49" s="998"/>
      <c r="T49" s="998"/>
      <c r="U49" s="998"/>
      <c r="V49" s="998"/>
      <c r="W49" s="998"/>
      <c r="X49" s="998"/>
      <c r="Y49" s="998"/>
      <c r="Z49" s="998"/>
      <c r="AA49" s="998"/>
      <c r="AB49" s="998"/>
      <c r="AC49" s="998"/>
      <c r="AD49" s="998"/>
      <c r="AE49" s="998"/>
      <c r="AF49" s="998"/>
      <c r="AG49" s="998"/>
      <c r="AH49" s="998"/>
      <c r="AI49" s="998"/>
      <c r="AJ49" s="998"/>
      <c r="AK49" s="998"/>
      <c r="AL49" s="998"/>
      <c r="AM49" s="998"/>
      <c r="AN49" s="998"/>
      <c r="AO49" s="998"/>
      <c r="AP49" s="998"/>
      <c r="AQ49" s="998"/>
      <c r="AR49" s="998"/>
      <c r="AS49" s="998"/>
      <c r="AT49" s="998"/>
      <c r="AU49" s="998"/>
      <c r="AV49" s="998"/>
      <c r="AW49" s="998"/>
      <c r="AX49" s="998"/>
      <c r="AY49" s="998"/>
      <c r="AZ49" s="998"/>
      <c r="BA49" s="998"/>
      <c r="BB49" s="998"/>
      <c r="BC49" s="998"/>
      <c r="BD49" s="998"/>
      <c r="BE49" s="998"/>
      <c r="BF49" s="998"/>
      <c r="BG49" s="998"/>
      <c r="BH49" s="998"/>
      <c r="BI49" s="998"/>
      <c r="BJ49" s="998"/>
      <c r="BK49" s="998"/>
      <c r="BL49" s="998"/>
      <c r="BM49" s="998"/>
      <c r="BN49" s="998"/>
      <c r="BO49" s="998"/>
      <c r="BP49" s="998"/>
      <c r="BQ49" s="998"/>
      <c r="BR49" s="998"/>
      <c r="BS49" s="998"/>
      <c r="BT49" s="998"/>
      <c r="BU49" s="998"/>
      <c r="BV49" s="998"/>
      <c r="BW49" s="998"/>
      <c r="BX49" s="998"/>
      <c r="BY49" s="998"/>
      <c r="BZ49" s="998"/>
      <c r="CA49" s="998"/>
      <c r="CB49" s="998"/>
      <c r="CC49" s="998"/>
    </row>
    <row r="50" spans="1:81" s="269" customFormat="1" ht="18" customHeight="1" thickBot="1" x14ac:dyDescent="0.35">
      <c r="A50" s="1388"/>
      <c r="B50" s="1389"/>
      <c r="C50" s="1390"/>
      <c r="D50" s="1067" t="s">
        <v>1770</v>
      </c>
      <c r="E50" s="285" t="s">
        <v>1780</v>
      </c>
      <c r="F50" s="1076"/>
      <c r="G50" s="1038"/>
      <c r="H50" s="1068"/>
      <c r="I50" s="1114"/>
      <c r="J50" s="1117"/>
      <c r="K50" s="996"/>
      <c r="P50" s="997"/>
      <c r="Q50" s="998"/>
      <c r="R50" s="998"/>
      <c r="S50" s="998"/>
      <c r="T50" s="998"/>
      <c r="U50" s="998"/>
      <c r="V50" s="998"/>
      <c r="W50" s="998"/>
      <c r="X50" s="998"/>
      <c r="Y50" s="998"/>
      <c r="Z50" s="998"/>
      <c r="AA50" s="998"/>
      <c r="AB50" s="998"/>
      <c r="AC50" s="998"/>
      <c r="AD50" s="998"/>
      <c r="AE50" s="998"/>
      <c r="AF50" s="998"/>
      <c r="AG50" s="998"/>
      <c r="AH50" s="998"/>
      <c r="AI50" s="998"/>
      <c r="AJ50" s="998"/>
      <c r="AK50" s="998"/>
      <c r="AL50" s="998"/>
      <c r="AM50" s="998"/>
      <c r="AN50" s="998"/>
      <c r="AO50" s="998"/>
      <c r="AP50" s="998"/>
      <c r="AQ50" s="998"/>
      <c r="AR50" s="998"/>
      <c r="AS50" s="998"/>
      <c r="AT50" s="998"/>
      <c r="AU50" s="998"/>
      <c r="AV50" s="998"/>
      <c r="AW50" s="998"/>
      <c r="AX50" s="998"/>
      <c r="AY50" s="998"/>
      <c r="AZ50" s="998"/>
      <c r="BA50" s="998"/>
      <c r="BB50" s="998"/>
      <c r="BC50" s="998"/>
      <c r="BD50" s="998"/>
      <c r="BE50" s="998"/>
      <c r="BF50" s="998"/>
      <c r="BG50" s="998"/>
      <c r="BH50" s="998"/>
      <c r="BI50" s="998"/>
      <c r="BJ50" s="998"/>
      <c r="BK50" s="998"/>
      <c r="BL50" s="998"/>
      <c r="BM50" s="998"/>
      <c r="BN50" s="998"/>
      <c r="BO50" s="998"/>
      <c r="BP50" s="998"/>
      <c r="BQ50" s="998"/>
      <c r="BR50" s="998"/>
      <c r="BS50" s="998"/>
      <c r="BT50" s="998"/>
      <c r="BU50" s="998"/>
      <c r="BV50" s="998"/>
      <c r="BW50" s="998"/>
      <c r="BX50" s="998"/>
      <c r="BY50" s="998"/>
      <c r="BZ50" s="998"/>
      <c r="CA50" s="998"/>
      <c r="CB50" s="998"/>
      <c r="CC50" s="998"/>
    </row>
    <row r="51" spans="1:81" s="269" customFormat="1" ht="114.75" customHeight="1" thickBot="1" x14ac:dyDescent="0.4">
      <c r="A51" s="1375" t="s">
        <v>1222</v>
      </c>
      <c r="B51" s="1375"/>
      <c r="C51" s="1375"/>
      <c r="D51" s="1065">
        <f>+Import!L254</f>
        <v>0</v>
      </c>
      <c r="E51" s="1078"/>
      <c r="F51" s="1080">
        <f>D51</f>
        <v>0</v>
      </c>
      <c r="G51" s="1038"/>
      <c r="H51" s="1091" t="s">
        <v>1796</v>
      </c>
      <c r="I51" s="1130" t="s">
        <v>1795</v>
      </c>
      <c r="J51" s="1112"/>
      <c r="K51" s="996"/>
      <c r="M51" s="1081">
        <f>'PI series #'!D49</f>
        <v>0</v>
      </c>
      <c r="P51" s="997"/>
      <c r="Q51" s="998"/>
      <c r="R51" s="998"/>
      <c r="S51" s="998"/>
      <c r="T51" s="998"/>
      <c r="U51" s="998"/>
      <c r="V51" s="998"/>
      <c r="W51" s="998"/>
      <c r="X51" s="998"/>
      <c r="Y51" s="998"/>
      <c r="Z51" s="998"/>
      <c r="AA51" s="998"/>
      <c r="AB51" s="998"/>
      <c r="AC51" s="998"/>
      <c r="AD51" s="998"/>
      <c r="AE51" s="998"/>
      <c r="AF51" s="998"/>
      <c r="AG51" s="998"/>
      <c r="AH51" s="998"/>
      <c r="AI51" s="998"/>
      <c r="AJ51" s="998"/>
      <c r="AK51" s="998"/>
      <c r="AL51" s="998"/>
      <c r="AM51" s="998"/>
      <c r="AN51" s="998"/>
      <c r="AO51" s="998"/>
      <c r="AP51" s="998"/>
      <c r="AQ51" s="998"/>
      <c r="AR51" s="998"/>
      <c r="AS51" s="998"/>
      <c r="AT51" s="998"/>
      <c r="AU51" s="998"/>
      <c r="AV51" s="998"/>
      <c r="AW51" s="998"/>
      <c r="AX51" s="998"/>
      <c r="AY51" s="998"/>
      <c r="AZ51" s="998"/>
      <c r="BA51" s="998"/>
      <c r="BB51" s="998"/>
      <c r="BC51" s="998"/>
      <c r="BD51" s="998"/>
      <c r="BE51" s="998"/>
      <c r="BF51" s="998"/>
      <c r="BG51" s="998"/>
      <c r="BH51" s="998"/>
      <c r="BI51" s="998"/>
      <c r="BJ51" s="998"/>
      <c r="BK51" s="998"/>
      <c r="BL51" s="998"/>
      <c r="BM51" s="998"/>
      <c r="BN51" s="998"/>
      <c r="BO51" s="998"/>
      <c r="BP51" s="998"/>
      <c r="BQ51" s="998"/>
      <c r="BR51" s="998"/>
      <c r="BS51" s="998"/>
      <c r="BT51" s="998"/>
      <c r="BU51" s="998"/>
      <c r="BV51" s="998"/>
      <c r="BW51" s="998"/>
      <c r="BX51" s="998"/>
      <c r="BY51" s="998"/>
      <c r="BZ51" s="998"/>
      <c r="CA51" s="998"/>
      <c r="CB51" s="998"/>
      <c r="CC51" s="998"/>
    </row>
    <row r="52" spans="1:81" s="999" customFormat="1" x14ac:dyDescent="0.3">
      <c r="A52" s="1082"/>
      <c r="B52" s="1082"/>
      <c r="C52" s="1082"/>
      <c r="D52" s="1082"/>
      <c r="E52" s="1082"/>
      <c r="F52" s="1082"/>
      <c r="G52" s="1083"/>
      <c r="H52" s="1082"/>
      <c r="I52" s="1087"/>
      <c r="J52" s="1087"/>
      <c r="L52" s="269"/>
      <c r="M52" s="269"/>
      <c r="N52" s="269"/>
      <c r="O52" s="269"/>
      <c r="P52" s="997"/>
      <c r="Q52" s="998"/>
      <c r="R52" s="998"/>
      <c r="S52" s="998"/>
      <c r="T52" s="998"/>
      <c r="U52" s="998"/>
      <c r="V52" s="998"/>
      <c r="W52" s="998"/>
      <c r="X52" s="998"/>
      <c r="Y52" s="998"/>
      <c r="Z52" s="998"/>
      <c r="AA52" s="998"/>
      <c r="AB52" s="998"/>
      <c r="AC52" s="998"/>
      <c r="AD52" s="998"/>
      <c r="AE52" s="998"/>
      <c r="AF52" s="998"/>
      <c r="AG52" s="998"/>
      <c r="AH52" s="998"/>
      <c r="AI52" s="998"/>
      <c r="AJ52" s="998"/>
      <c r="AK52" s="998"/>
      <c r="AL52" s="998"/>
      <c r="AM52" s="998"/>
      <c r="AN52" s="998"/>
      <c r="AO52" s="998"/>
      <c r="AP52" s="998"/>
      <c r="AQ52" s="998"/>
      <c r="AR52" s="998"/>
      <c r="AS52" s="998"/>
      <c r="AT52" s="998"/>
      <c r="AU52" s="998"/>
      <c r="AV52" s="998"/>
      <c r="AW52" s="998"/>
      <c r="AX52" s="998"/>
      <c r="AY52" s="998"/>
      <c r="AZ52" s="998"/>
      <c r="BA52" s="998"/>
      <c r="BB52" s="998"/>
      <c r="BC52" s="998"/>
      <c r="BD52" s="998"/>
      <c r="BE52" s="998"/>
      <c r="BF52" s="998"/>
      <c r="BG52" s="998"/>
      <c r="BH52" s="998"/>
      <c r="BI52" s="998"/>
      <c r="BJ52" s="998"/>
      <c r="BK52" s="998"/>
      <c r="BL52" s="998"/>
      <c r="BM52" s="998"/>
      <c r="BN52" s="998"/>
      <c r="BO52" s="998"/>
      <c r="BP52" s="998"/>
      <c r="BQ52" s="998"/>
      <c r="BR52" s="998"/>
      <c r="BS52" s="998"/>
      <c r="BT52" s="998"/>
      <c r="BU52" s="998"/>
      <c r="BV52" s="998"/>
      <c r="BW52" s="998"/>
      <c r="BX52" s="998"/>
      <c r="BY52" s="998"/>
      <c r="BZ52" s="998"/>
      <c r="CA52" s="998"/>
      <c r="CB52" s="998"/>
      <c r="CC52" s="998"/>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49" priority="28" operator="lessThan">
      <formula>1</formula>
    </cfRule>
  </conditionalFormatting>
  <conditionalFormatting sqref="F16">
    <cfRule type="cellIs" dxfId="48" priority="27" operator="lessThan">
      <formula>0</formula>
    </cfRule>
  </conditionalFormatting>
  <conditionalFormatting sqref="F17">
    <cfRule type="cellIs" dxfId="47" priority="26" operator="lessThan">
      <formula>0.16</formula>
    </cfRule>
  </conditionalFormatting>
  <conditionalFormatting sqref="F21">
    <cfRule type="cellIs" dxfId="46" priority="25" operator="lessThan">
      <formula>1</formula>
    </cfRule>
  </conditionalFormatting>
  <conditionalFormatting sqref="F23">
    <cfRule type="cellIs" dxfId="45" priority="24" operator="lessThan">
      <formula>0</formula>
    </cfRule>
  </conditionalFormatting>
  <conditionalFormatting sqref="F24">
    <cfRule type="cellIs" dxfId="44" priority="23" operator="lessThan">
      <formula>0.16</formula>
    </cfRule>
  </conditionalFormatting>
  <conditionalFormatting sqref="F29">
    <cfRule type="cellIs" dxfId="43" priority="22" operator="equal">
      <formula>"No"</formula>
    </cfRule>
  </conditionalFormatting>
  <conditionalFormatting sqref="F31">
    <cfRule type="cellIs" dxfId="42" priority="21" operator="lessThan">
      <formula>-0.03</formula>
    </cfRule>
  </conditionalFormatting>
  <conditionalFormatting sqref="F37">
    <cfRule type="cellIs" dxfId="41" priority="13" operator="equal">
      <formula>"Yes"</formula>
    </cfRule>
  </conditionalFormatting>
  <conditionalFormatting sqref="F39">
    <cfRule type="cellIs" dxfId="40" priority="20" operator="equal">
      <formula>"Yes"</formula>
    </cfRule>
  </conditionalFormatting>
  <conditionalFormatting sqref="F41">
    <cfRule type="cellIs" dxfId="39" priority="19" operator="equal">
      <formula>"Yes"</formula>
    </cfRule>
  </conditionalFormatting>
  <conditionalFormatting sqref="F43">
    <cfRule type="cellIs" dxfId="38" priority="18" operator="equal">
      <formula>"Yes"</formula>
    </cfRule>
  </conditionalFormatting>
  <conditionalFormatting sqref="F35">
    <cfRule type="cellIs" dxfId="37" priority="17" operator="equal">
      <formula>"No"</formula>
    </cfRule>
  </conditionalFormatting>
  <conditionalFormatting sqref="F50">
    <cfRule type="cellIs" dxfId="36" priority="15" operator="equal">
      <formula>"Yes"</formula>
    </cfRule>
  </conditionalFormatting>
  <conditionalFormatting sqref="F49">
    <cfRule type="cellIs" dxfId="35" priority="14" operator="equal">
      <formula>"Yes"</formula>
    </cfRule>
  </conditionalFormatting>
  <conditionalFormatting sqref="F45">
    <cfRule type="cellIs" dxfId="34" priority="12" operator="equal">
      <formula>"No"</formula>
    </cfRule>
  </conditionalFormatting>
  <conditionalFormatting sqref="F33">
    <cfRule type="cellIs" dxfId="33" priority="11" operator="equal">
      <formula>"Decrease"</formula>
    </cfRule>
  </conditionalFormatting>
  <conditionalFormatting sqref="F47">
    <cfRule type="expression" dxfId="32" priority="10">
      <formula>$D$47&gt;0</formula>
    </cfRule>
  </conditionalFormatting>
  <conditionalFormatting sqref="F51">
    <cfRule type="expression" dxfId="31" priority="9">
      <formula>M51&gt;0</formula>
    </cfRule>
  </conditionalFormatting>
  <conditionalFormatting sqref="F9">
    <cfRule type="expression" dxfId="30" priority="3">
      <formula>F9-L8&lt;0</formula>
    </cfRule>
  </conditionalFormatting>
  <conditionalFormatting sqref="F26">
    <cfRule type="cellIs" dxfId="29" priority="8" operator="lessThan">
      <formula>1</formula>
    </cfRule>
  </conditionalFormatting>
  <conditionalFormatting sqref="F10">
    <cfRule type="expression" dxfId="28" priority="7">
      <formula>$L$10&lt;0%</formula>
    </cfRule>
  </conditionalFormatting>
  <conditionalFormatting sqref="F11">
    <cfRule type="expression" dxfId="27" priority="5">
      <formula>$L$11&lt;8%</formula>
    </cfRule>
  </conditionalFormatting>
  <conditionalFormatting sqref="F12">
    <cfRule type="cellIs" dxfId="26" priority="2" operator="lessThan">
      <formula>0</formula>
    </cfRule>
  </conditionalFormatting>
  <conditionalFormatting sqref="F18">
    <cfRule type="expression" dxfId="25"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49"/>
  <sheetViews>
    <sheetView showGridLines="0" zoomScale="80" zoomScaleNormal="80" workbookViewId="0">
      <pane ySplit="4" topLeftCell="A5" activePane="bottomLeft" state="frozen"/>
      <selection pane="bottomLeft" activeCell="D6" sqref="D6"/>
    </sheetView>
  </sheetViews>
  <sheetFormatPr defaultColWidth="9.109375" defaultRowHeight="14.4" x14ac:dyDescent="0.3"/>
  <cols>
    <col min="1" max="1" width="44.5546875" style="495" customWidth="1"/>
    <col min="2" max="2" width="17.33203125" style="495" customWidth="1"/>
    <col min="3" max="3" width="17.88671875" style="495" customWidth="1"/>
    <col min="4" max="4" width="20.88671875" style="495" customWidth="1"/>
    <col min="5" max="5" width="16.109375" style="495" customWidth="1"/>
    <col min="6" max="6" width="14.88671875" style="495" customWidth="1"/>
    <col min="7" max="7" width="46.109375" style="502" customWidth="1"/>
    <col min="8" max="8" width="77.5546875" style="495" customWidth="1"/>
    <col min="9" max="9" width="34" style="495" customWidth="1"/>
    <col min="10" max="10" width="9.109375" style="495" customWidth="1"/>
    <col min="11" max="11" width="36.88671875" style="495" customWidth="1"/>
    <col min="12" max="12" width="15" style="495" customWidth="1"/>
    <col min="13" max="13" width="11.88671875" style="495" customWidth="1"/>
    <col min="14" max="24" width="9.109375" style="495" customWidth="1"/>
    <col min="25" max="25" width="9.109375" style="304" customWidth="1"/>
    <col min="26" max="26" width="36.88671875" style="575" hidden="1" customWidth="1"/>
    <col min="27" max="16384" width="9.109375" style="495"/>
  </cols>
  <sheetData>
    <row r="1" spans="1:78" x14ac:dyDescent="0.3">
      <c r="A1" s="496" t="s">
        <v>1135</v>
      </c>
      <c r="B1" s="497"/>
      <c r="C1" s="497"/>
      <c r="D1" s="497"/>
      <c r="E1" s="498" t="s">
        <v>1136</v>
      </c>
      <c r="F1" s="498">
        <v>2021</v>
      </c>
      <c r="G1" s="1410"/>
      <c r="H1" s="1411"/>
      <c r="I1" s="499"/>
      <c r="Z1" s="568" t="s">
        <v>1434</v>
      </c>
    </row>
    <row r="2" spans="1:78" ht="98.25" customHeight="1" x14ac:dyDescent="0.3">
      <c r="A2" s="500" t="s">
        <v>1226</v>
      </c>
      <c r="B2" s="1412" t="str">
        <f>'Unit Data from Audit Worksheet'!D2</f>
        <v>Select Unit Name from Drop Down List</v>
      </c>
      <c r="C2" s="1412"/>
      <c r="D2" s="1412"/>
      <c r="E2" s="1416" t="s">
        <v>1688</v>
      </c>
      <c r="F2" s="1416"/>
      <c r="G2" s="1416"/>
      <c r="H2" s="1413" t="s">
        <v>1449</v>
      </c>
      <c r="I2" s="501"/>
      <c r="J2" s="502"/>
      <c r="K2" s="503"/>
      <c r="Z2" s="161"/>
    </row>
    <row r="3" spans="1:78" ht="38.25" customHeight="1" x14ac:dyDescent="0.3">
      <c r="A3" s="504" t="s">
        <v>1137</v>
      </c>
      <c r="B3" s="1415" t="e">
        <f>'Unit Data from Audit Worksheet'!D3</f>
        <v>#N/A</v>
      </c>
      <c r="C3" s="1415"/>
      <c r="D3" s="1415"/>
      <c r="E3" s="1417"/>
      <c r="F3" s="1417"/>
      <c r="G3" s="1417"/>
      <c r="H3" s="1414"/>
      <c r="I3" s="499"/>
      <c r="K3" s="505" t="s">
        <v>1185</v>
      </c>
      <c r="Z3" s="161"/>
    </row>
    <row r="4" spans="1:78" ht="106.5" customHeight="1" x14ac:dyDescent="0.3">
      <c r="A4" s="584"/>
      <c r="B4" s="585">
        <v>2019</v>
      </c>
      <c r="C4" s="585">
        <v>2020</v>
      </c>
      <c r="D4" s="585">
        <v>2021</v>
      </c>
      <c r="E4" s="586" t="s">
        <v>1447</v>
      </c>
      <c r="F4" s="585" t="s">
        <v>1146</v>
      </c>
      <c r="G4" s="587"/>
      <c r="H4" s="585" t="s">
        <v>1138</v>
      </c>
      <c r="I4" s="586" t="s">
        <v>1488</v>
      </c>
      <c r="J4" s="506"/>
      <c r="Z4" s="161"/>
    </row>
    <row r="5" spans="1:78" x14ac:dyDescent="0.3">
      <c r="A5" s="580" t="s">
        <v>732</v>
      </c>
      <c r="B5" s="581"/>
      <c r="C5" s="581"/>
      <c r="D5" s="581"/>
      <c r="E5" s="582"/>
      <c r="F5" s="579"/>
      <c r="G5" s="582"/>
      <c r="H5" s="581"/>
      <c r="I5" s="583"/>
      <c r="J5" s="506"/>
      <c r="K5" s="508">
        <f>+(Import!$L$72+Import!$L$77+Import!$L$74-Import!$L$75-Import!$L$76)</f>
        <v>0</v>
      </c>
      <c r="L5" s="495" t="s">
        <v>1235</v>
      </c>
      <c r="Z5" s="570"/>
    </row>
    <row r="6" spans="1:78" ht="143.25" customHeight="1" x14ac:dyDescent="0.3">
      <c r="A6" s="405" t="s">
        <v>960</v>
      </c>
      <c r="B6" s="401" t="e">
        <f>HLOOKUP($B$3,'2019 Data(H)'!$E$2:$CZ$299,291,FALSE)</f>
        <v>#N/A</v>
      </c>
      <c r="C6" s="401" t="e">
        <f>HLOOKUP($B$2,'2020 Data(H)'!$E$1:$CZ$428,339,FALSE)</f>
        <v>#N/A</v>
      </c>
      <c r="D6" s="401" t="str">
        <f>IFERROR((Import!$L$52+Import!$L$53-Import!$L$57-Import!$L$58-Import!$L$230-Import!$L$62+Import!$L$89)/(Import!$L$72+Import!$L$77+Import!$L$74-Import!$L$75-Import!$L$76),"")</f>
        <v/>
      </c>
      <c r="E6" s="553" t="b">
        <f>IF(K5&gt;10000000,"25% -- Average of similar units is 46%",IF(K5&gt;999999,"34% -- Average of similar units is 63%",IF(K5&gt;99999,"71% -- Average of similar units is 132%",IF(K5&gt;1,"100 %-- Average of similar units is 260%"))))</f>
        <v>0</v>
      </c>
      <c r="F6" s="956"/>
      <c r="G6" s="976" t="s">
        <v>1650</v>
      </c>
      <c r="H6" s="945" t="s">
        <v>1689</v>
      </c>
      <c r="I6" s="552"/>
      <c r="J6" s="506"/>
      <c r="K6" s="509" t="b">
        <f>IF($K$5&gt;10000000,"25%",IF($K$5&gt;999999,"34%",IF($K$5&gt;99999,"71%",IF($K$5&gt;1,"100%"))))</f>
        <v>0</v>
      </c>
      <c r="L6" s="510" t="e">
        <f>+D6-K6</f>
        <v>#VALUE!</v>
      </c>
      <c r="Z6" s="161" t="s">
        <v>1435</v>
      </c>
    </row>
    <row r="7" spans="1:78" ht="22.5" customHeight="1" x14ac:dyDescent="0.3">
      <c r="A7" s="405"/>
      <c r="B7" s="403"/>
      <c r="C7" s="403"/>
      <c r="D7" s="403"/>
      <c r="E7" s="553"/>
      <c r="F7" s="404"/>
      <c r="G7" s="551"/>
      <c r="H7" s="548"/>
      <c r="I7" s="988"/>
      <c r="J7" s="506"/>
      <c r="K7" s="554"/>
      <c r="L7" s="510"/>
      <c r="Z7" s="161"/>
    </row>
    <row r="8" spans="1:78" ht="137.25" customHeight="1" x14ac:dyDescent="0.3">
      <c r="A8" s="954" t="s">
        <v>1699</v>
      </c>
      <c r="B8" s="955" t="e">
        <f>HLOOKUP($B$3,'2019 Data(H)'!$E$2:$CZ$299,291,FALSE)</f>
        <v>#N/A</v>
      </c>
      <c r="C8" s="955" t="e">
        <f>HLOOKUP($B$2,'2020 Data(H)'!$E$1:$CZ$428,339,FALSE)</f>
        <v>#N/A</v>
      </c>
      <c r="D8" s="955" t="str">
        <f>IFERROR((Import!$L$52+Import!$L$53-Import!$L$57-Import!$L$58-Import!$L$230-Import!$L$62+Import!$L$89)/(Import!$L$72+Import!$L$77+Import!$L$74-Import!$L$75-Import!$L$76),"")</f>
        <v/>
      </c>
      <c r="E8" s="982" t="str">
        <f>IF($K$5&gt;99999999,"16%--Median of simiar units is 32%","20%--Median of similar units is 39%")</f>
        <v>20%--Median of similar units is 39%</v>
      </c>
      <c r="F8" s="956"/>
      <c r="G8" s="977" t="s">
        <v>1147</v>
      </c>
      <c r="H8" s="978" t="s">
        <v>1402</v>
      </c>
      <c r="I8" s="957"/>
      <c r="J8" s="506"/>
      <c r="K8" s="571">
        <f>IF($K$5&gt;99999999,16%,20%)</f>
        <v>0.2</v>
      </c>
      <c r="L8" s="510" t="e">
        <f>+D8-K8</f>
        <v>#VALUE!</v>
      </c>
      <c r="Z8" s="161" t="s">
        <v>1651</v>
      </c>
    </row>
    <row r="9" spans="1:78" ht="120" customHeight="1" x14ac:dyDescent="0.3">
      <c r="A9" s="953" t="s">
        <v>1701</v>
      </c>
      <c r="B9" s="955" t="e">
        <f>HLOOKUP($B$3,'2019 Data(H)'!$E$2:$CZ$299,291,FALSE)</f>
        <v>#N/A</v>
      </c>
      <c r="C9" s="955" t="e">
        <f>HLOOKUP($B$2,'2020 Data(H)'!$E$1:$CZ$428,339,FALSE)</f>
        <v>#N/A</v>
      </c>
      <c r="D9" s="955" t="str">
        <f>IFERROR((Import!$L$52+Import!$L$53-Import!$L$57-Import!$L$58-Import!$L$230-Import!$L$62+Import!$L$89)/(Import!$L$72+Import!$L$77+Import!$L$74-Import!$L$75-Import!$L$76),"")</f>
        <v/>
      </c>
      <c r="E9" s="982">
        <v>0.08</v>
      </c>
      <c r="F9" s="956" t="str">
        <f>+K9</f>
        <v/>
      </c>
      <c r="G9" s="977" t="s">
        <v>1147</v>
      </c>
      <c r="H9" s="978" t="s">
        <v>1696</v>
      </c>
      <c r="I9" s="534"/>
      <c r="J9" s="506"/>
      <c r="K9" s="955" t="str">
        <f>+IF(D9&gt;7.9999%,D9,"Less than 8%")</f>
        <v/>
      </c>
      <c r="L9" s="510"/>
      <c r="Z9" s="161"/>
    </row>
    <row r="10" spans="1:78" ht="152.25" customHeight="1" thickBot="1" x14ac:dyDescent="0.35">
      <c r="A10" s="953" t="s">
        <v>1174</v>
      </c>
      <c r="B10" s="584"/>
      <c r="C10" s="584"/>
      <c r="D10" s="958">
        <f>+Import!L65</f>
        <v>0</v>
      </c>
      <c r="E10" s="959"/>
      <c r="F10" s="958">
        <f>+D10</f>
        <v>0</v>
      </c>
      <c r="G10" s="559" t="s">
        <v>1175</v>
      </c>
      <c r="H10" s="559" t="s">
        <v>1406</v>
      </c>
      <c r="I10" s="532"/>
      <c r="J10" s="506"/>
      <c r="Z10" s="161" t="s">
        <v>1652</v>
      </c>
    </row>
    <row r="11" spans="1:78" ht="78" customHeight="1" x14ac:dyDescent="0.3">
      <c r="A11" s="569" t="s">
        <v>734</v>
      </c>
      <c r="B11" s="297">
        <f>+B4</f>
        <v>2019</v>
      </c>
      <c r="C11" s="297">
        <f>+C4</f>
        <v>2020</v>
      </c>
      <c r="D11" s="297">
        <f>+D4</f>
        <v>2021</v>
      </c>
      <c r="E11" s="514"/>
      <c r="F11" s="515"/>
      <c r="G11" s="1418" t="s">
        <v>1448</v>
      </c>
      <c r="H11" s="1419"/>
      <c r="I11" s="550"/>
      <c r="J11" s="506"/>
      <c r="K11" s="516" t="e">
        <f>HLOOKUP($B$3,'2019 Data(H)'!$E$2:$CZ$305,244,FALSE)</f>
        <v>#N/A</v>
      </c>
      <c r="L11" s="516" t="e">
        <f>HLOOKUP(B3,'2020 Data(H)'!E2:CZ350,244,FALSE)</f>
        <v>#N/A</v>
      </c>
      <c r="M11" s="516" t="e">
        <f>Import!L268</f>
        <v>#N/A</v>
      </c>
      <c r="N11" s="517"/>
      <c r="O11" s="517"/>
      <c r="P11" s="517"/>
      <c r="Q11" s="517"/>
      <c r="R11" s="517"/>
      <c r="S11" s="517"/>
      <c r="T11" s="517"/>
      <c r="U11" s="517"/>
      <c r="V11" s="517"/>
      <c r="W11" s="517"/>
      <c r="X11" s="517"/>
      <c r="Z11" s="161"/>
      <c r="AA11" s="517"/>
      <c r="AB11" s="517"/>
      <c r="AC11" s="517"/>
      <c r="AD11" s="517"/>
      <c r="AE11" s="517"/>
      <c r="AF11" s="517"/>
      <c r="AG11" s="517"/>
      <c r="AH11" s="517"/>
      <c r="AI11" s="517"/>
      <c r="AJ11" s="517"/>
      <c r="AK11" s="517"/>
      <c r="AL11" s="517"/>
      <c r="AM11" s="517"/>
      <c r="AN11" s="517"/>
      <c r="AO11" s="517"/>
      <c r="AP11" s="517"/>
      <c r="AQ11" s="517"/>
      <c r="AR11" s="517"/>
      <c r="AS11" s="517"/>
      <c r="AT11" s="517"/>
      <c r="AU11" s="517"/>
      <c r="AV11" s="517"/>
      <c r="AW11" s="517"/>
      <c r="AX11" s="517"/>
      <c r="AY11" s="517"/>
      <c r="AZ11" s="517"/>
      <c r="BA11" s="517"/>
      <c r="BB11" s="517"/>
      <c r="BC11" s="517"/>
      <c r="BD11" s="517"/>
      <c r="BE11" s="517"/>
      <c r="BF11" s="517"/>
      <c r="BG11" s="517"/>
      <c r="BH11" s="517"/>
      <c r="BI11" s="517"/>
      <c r="BJ11" s="517"/>
      <c r="BK11" s="517"/>
      <c r="BL11" s="517"/>
      <c r="BM11" s="517"/>
      <c r="BN11" s="517"/>
      <c r="BO11" s="517"/>
      <c r="BP11" s="517"/>
      <c r="BQ11" s="517"/>
      <c r="BR11" s="517"/>
      <c r="BS11" s="517"/>
      <c r="BT11" s="517"/>
      <c r="BU11" s="517"/>
      <c r="BV11" s="517"/>
      <c r="BW11" s="517"/>
      <c r="BX11" s="517"/>
      <c r="BY11" s="517"/>
      <c r="BZ11" s="517"/>
    </row>
    <row r="12" spans="1:78" ht="119.4" customHeight="1" x14ac:dyDescent="0.3">
      <c r="A12" s="409" t="s">
        <v>731</v>
      </c>
      <c r="B12" s="557" t="e">
        <f>IF(K11=0,"Not Applicable",(K12))</f>
        <v>#N/A</v>
      </c>
      <c r="C12" s="557" t="e">
        <f>IF(L11=0,"Not Applicable",(L12))</f>
        <v>#N/A</v>
      </c>
      <c r="D12" s="557" t="e">
        <f>IF(M11=0,"Not Applicable",M12)</f>
        <v>#N/A</v>
      </c>
      <c r="E12" s="558" t="s">
        <v>1139</v>
      </c>
      <c r="F12" s="948" t="str">
        <f>M12</f>
        <v/>
      </c>
      <c r="G12" s="558" t="s">
        <v>1148</v>
      </c>
      <c r="H12" s="559" t="s">
        <v>1177</v>
      </c>
      <c r="I12" s="552"/>
      <c r="J12" s="506"/>
      <c r="K12" s="516" t="e">
        <f>HLOOKUP($B$3,'2019 Data(H)'!$E$2:$CZ$305,299,FALSE)</f>
        <v>#N/A</v>
      </c>
      <c r="L12" s="516" t="e">
        <f>HLOOKUP(B2,'2020 Data(H)'!E1:CB428,347,FALSE)</f>
        <v>#N/A</v>
      </c>
      <c r="M12" s="518" t="str">
        <f>IFERROR((Import!$L$120-Import!$L$121-Import!$L$118-Import!$L$119)/(Import!$L$124-Import!$L$125-Import!$L$126-Import!$L$127-Import!$L$128-Import!$L$129-Import!$L$123),"")</f>
        <v/>
      </c>
      <c r="Z12" s="161" t="s">
        <v>1436</v>
      </c>
    </row>
    <row r="13" spans="1:78" ht="69.599999999999994" customHeight="1" x14ac:dyDescent="0.3">
      <c r="A13" s="409" t="s">
        <v>1190</v>
      </c>
      <c r="B13" s="560" t="e">
        <f>IF(K11=0,"Not Applicable",K13)</f>
        <v>#N/A</v>
      </c>
      <c r="C13" s="407" t="e">
        <f>IF(L11=0,"Not Applicable",L13)</f>
        <v>#N/A</v>
      </c>
      <c r="D13" s="561" t="e">
        <f>IF(M11=0,"Not Applicable",M13)</f>
        <v>#N/A</v>
      </c>
      <c r="E13" s="558" t="s">
        <v>1452</v>
      </c>
      <c r="F13" s="949" t="e">
        <f>D13</f>
        <v>#N/A</v>
      </c>
      <c r="G13" s="558" t="s">
        <v>1191</v>
      </c>
      <c r="H13" s="559" t="s">
        <v>1178</v>
      </c>
      <c r="I13" s="552"/>
      <c r="J13" s="506"/>
      <c r="K13" s="267" t="e">
        <f>HLOOKUP(B3,'2019 Data(H)'!E2:CB305,300,FALSE)</f>
        <v>#N/A</v>
      </c>
      <c r="L13" s="267" t="e">
        <f>HLOOKUP(B2,'2020 Data(H)'!F1:CZ428,348,FALSE)</f>
        <v>#N/A</v>
      </c>
      <c r="M13" s="941">
        <f>+Import!$L$153-Import!$L$155+Import!$L$154-Import!$L$182</f>
        <v>0</v>
      </c>
      <c r="Z13" s="161" t="s">
        <v>1436</v>
      </c>
    </row>
    <row r="14" spans="1:78" ht="109.95" customHeight="1" x14ac:dyDescent="0.3">
      <c r="A14" s="409" t="s">
        <v>1215</v>
      </c>
      <c r="B14" s="408" t="e">
        <f>IF(K11=0,"Not Applicable",K14)</f>
        <v>#N/A</v>
      </c>
      <c r="C14" s="408" t="e">
        <f>IF(L11=0,"Not Applicable",L14)</f>
        <v>#N/A</v>
      </c>
      <c r="D14" s="408" t="e">
        <f>IF(M11=0,"Not Applicable",M14)</f>
        <v>#N/A</v>
      </c>
      <c r="E14" s="558" t="s">
        <v>1685</v>
      </c>
      <c r="F14" s="402" t="e">
        <f>D14</f>
        <v>#N/A</v>
      </c>
      <c r="G14" s="558" t="s">
        <v>1192</v>
      </c>
      <c r="H14" s="559" t="s">
        <v>1403</v>
      </c>
      <c r="I14" s="552"/>
      <c r="J14" s="506"/>
      <c r="K14" s="268" t="e">
        <f>HLOOKUP(B3,'2019 Data(H)'!E2:CZ305,301,FALSE)</f>
        <v>#N/A</v>
      </c>
      <c r="L14" s="268" t="e">
        <f>HLOOKUP(B2,'2020 Data(H)'!F1:CZ428,349,FALSE)</f>
        <v>#N/A</v>
      </c>
      <c r="M14" s="268" t="str">
        <f>IFERROR(Import!L116/(Import!L155+Import!L158-Import!L154+Import!L182),"")</f>
        <v/>
      </c>
      <c r="Z14" s="161" t="s">
        <v>1436</v>
      </c>
    </row>
    <row r="15" spans="1:78" ht="99.75" customHeight="1" thickBot="1" x14ac:dyDescent="0.35">
      <c r="A15" s="1408" t="s">
        <v>1686</v>
      </c>
      <c r="B15" s="1409"/>
      <c r="C15" s="1409"/>
      <c r="D15" s="942" t="str">
        <f>IF(K15&lt;0,"Yes","No")</f>
        <v>No</v>
      </c>
      <c r="E15" s="987"/>
      <c r="F15" s="943" t="str">
        <f>D15</f>
        <v>No</v>
      </c>
      <c r="G15" s="555" t="s">
        <v>1687</v>
      </c>
      <c r="H15" s="562" t="s">
        <v>1183</v>
      </c>
      <c r="I15" s="556"/>
      <c r="J15" s="506"/>
      <c r="K15" s="296">
        <f>((Import!L158+Import!L155)*0.03)-Import!L161</f>
        <v>0</v>
      </c>
      <c r="Z15" s="161" t="s">
        <v>1436</v>
      </c>
    </row>
    <row r="16" spans="1:78" ht="37.5" customHeight="1" thickBot="1" x14ac:dyDescent="0.35">
      <c r="A16" s="289"/>
      <c r="B16" s="511"/>
      <c r="C16" s="511"/>
      <c r="D16" s="511"/>
      <c r="E16" s="512"/>
      <c r="F16" s="511"/>
      <c r="G16" s="513"/>
      <c r="H16" s="511"/>
      <c r="I16" s="511"/>
      <c r="Z16" s="572"/>
    </row>
    <row r="17" spans="1:26" ht="116.25" customHeight="1" thickBot="1" x14ac:dyDescent="0.35">
      <c r="A17" s="507" t="s">
        <v>733</v>
      </c>
      <c r="B17" s="298">
        <f>+B4</f>
        <v>2019</v>
      </c>
      <c r="C17" s="298">
        <f>+C4</f>
        <v>2020</v>
      </c>
      <c r="D17" s="298">
        <f>+D4</f>
        <v>2021</v>
      </c>
      <c r="E17" s="519"/>
      <c r="F17" s="520"/>
      <c r="G17" s="578" t="s">
        <v>1214</v>
      </c>
      <c r="H17" s="946" t="s">
        <v>1176</v>
      </c>
      <c r="I17" s="521"/>
      <c r="J17" s="506"/>
      <c r="K17" s="516" t="e">
        <f>HLOOKUP(B3,'2019 Data(H)'!E2:CZ310,243,FALSE)</f>
        <v>#N/A</v>
      </c>
      <c r="L17" s="270" t="e">
        <f>HLOOKUP(B3,'2020 Data(H)'!E2:CZ350,243,FALSE)</f>
        <v>#N/A</v>
      </c>
      <c r="M17" s="522" t="e">
        <f>+Import!L267</f>
        <v>#N/A</v>
      </c>
      <c r="Z17" s="570"/>
    </row>
    <row r="18" spans="1:26" ht="78" customHeight="1" x14ac:dyDescent="0.3">
      <c r="A18" s="299" t="s">
        <v>731</v>
      </c>
      <c r="B18" s="523" t="e">
        <f>IF(K17=0,"Not Applicable",K18)</f>
        <v>#N/A</v>
      </c>
      <c r="C18" s="523" t="e">
        <f>IF(L17=0,"Not Applicable",L18)</f>
        <v>#N/A</v>
      </c>
      <c r="D18" s="523" t="e">
        <f>IF(M17=0,"Not Applicable",M18)</f>
        <v>#N/A</v>
      </c>
      <c r="E18" s="558" t="s">
        <v>1139</v>
      </c>
      <c r="F18" s="950" t="str">
        <f>+M18</f>
        <v/>
      </c>
      <c r="G18" s="961" t="s">
        <v>1199</v>
      </c>
      <c r="H18" s="973" t="s">
        <v>1177</v>
      </c>
      <c r="I18" s="552"/>
      <c r="J18" s="506"/>
      <c r="K18" s="270" t="e">
        <f>HLOOKUP(B3,'2019 Data(H)'!E2:CZ310,302,FALSE)</f>
        <v>#N/A</v>
      </c>
      <c r="L18" s="516" t="e">
        <f>HLOOKUP(B2,'2020 Data(H)'!F1:CZ428,350,FALSE)</f>
        <v>#N/A</v>
      </c>
      <c r="M18" s="516" t="str">
        <f>IFERROR((Import!L138-Import!L139-Import!L137-Import!L136)/(Import!L143-Import!L144-Import!L145-Import!L146-Import!L147-Import!L148-Import!L142),"")</f>
        <v/>
      </c>
      <c r="Z18" s="573" t="s">
        <v>1437</v>
      </c>
    </row>
    <row r="19" spans="1:26" ht="60.75" customHeight="1" x14ac:dyDescent="0.3">
      <c r="A19" s="286" t="s">
        <v>1190</v>
      </c>
      <c r="B19" s="385" t="e">
        <f>IF(K17=0,"Not Applicable",K19)</f>
        <v>#N/A</v>
      </c>
      <c r="C19" s="385" t="e">
        <f>IF(L17=0,"Not Applicable",L19)</f>
        <v>#N/A</v>
      </c>
      <c r="D19" s="385" t="e">
        <f>IF(M17=0,"Not Applicable",M19)</f>
        <v>#N/A</v>
      </c>
      <c r="E19" s="558" t="s">
        <v>1452</v>
      </c>
      <c r="F19" s="951" t="e">
        <f>D19</f>
        <v>#N/A</v>
      </c>
      <c r="G19" s="961" t="s">
        <v>1193</v>
      </c>
      <c r="H19" s="973" t="s">
        <v>1178</v>
      </c>
      <c r="I19" s="552"/>
      <c r="J19" s="506"/>
      <c r="K19" s="267" t="e">
        <f>HLOOKUP(B3,'2019 Data(H)'!E2:CZ310,303,FALSE)</f>
        <v>#N/A</v>
      </c>
      <c r="L19" s="267" t="e">
        <f>HLOOKUP(B2,'2020 Data(H)'!F1:CZ428,351,FALSE)</f>
        <v>#N/A</v>
      </c>
      <c r="M19" s="267">
        <f>+Import!L168-Import!L171+Import!L170-Import!L185</f>
        <v>0</v>
      </c>
      <c r="Z19" s="573" t="s">
        <v>1437</v>
      </c>
    </row>
    <row r="20" spans="1:26" ht="88.5" customHeight="1" thickBot="1" x14ac:dyDescent="0.35">
      <c r="A20" s="300" t="s">
        <v>1215</v>
      </c>
      <c r="B20" s="386" t="e">
        <f>IF(K17=0,"Not Applicable",K20)</f>
        <v>#N/A</v>
      </c>
      <c r="C20" s="386" t="e">
        <f>IF(L17=0,"Not Applicable",L20)</f>
        <v>#N/A</v>
      </c>
      <c r="D20" s="386" t="e">
        <f>IF(M17=0,"Not Applicable",M20)</f>
        <v>#N/A</v>
      </c>
      <c r="E20" s="986" t="s">
        <v>1685</v>
      </c>
      <c r="F20" s="952" t="str">
        <f>+M20</f>
        <v/>
      </c>
      <c r="G20" s="975" t="s">
        <v>1203</v>
      </c>
      <c r="H20" s="974" t="s">
        <v>1403</v>
      </c>
      <c r="I20" s="556"/>
      <c r="J20" s="506"/>
      <c r="K20" s="268" t="e">
        <f>HLOOKUP(B3,'2019 Data(H)'!E2:CZ310,304,FALSE)</f>
        <v>#N/A</v>
      </c>
      <c r="L20" s="268" t="e">
        <f>HLOOKUP(B2,'2020 Data(H)'!F1:CZ428,352,FALSE)</f>
        <v>#N/A</v>
      </c>
      <c r="M20" s="268" t="str">
        <f>IFERROR(Import!L134/(Import!L174+Import!L171-Import!L170+Import!L185),"")</f>
        <v/>
      </c>
      <c r="Z20" s="573" t="s">
        <v>1437</v>
      </c>
    </row>
    <row r="21" spans="1:26" ht="15.75" customHeight="1" x14ac:dyDescent="0.3">
      <c r="A21" s="410"/>
      <c r="B21" s="411"/>
      <c r="C21" s="411"/>
      <c r="D21" s="411"/>
      <c r="E21" s="563"/>
      <c r="F21" s="564"/>
      <c r="G21" s="565"/>
      <c r="H21" s="565"/>
      <c r="I21" s="980"/>
      <c r="J21" s="506"/>
      <c r="K21" s="268"/>
      <c r="L21" s="268"/>
      <c r="M21" s="268"/>
      <c r="Z21" s="573"/>
    </row>
    <row r="22" spans="1:26" ht="50.25" customHeight="1" x14ac:dyDescent="0.3">
      <c r="A22" s="981" t="s">
        <v>1450</v>
      </c>
      <c r="B22" s="411"/>
      <c r="C22" s="411"/>
      <c r="D22" s="411"/>
      <c r="E22" s="563"/>
      <c r="F22" s="564"/>
      <c r="G22" s="565"/>
      <c r="H22" s="565"/>
      <c r="I22" s="980"/>
      <c r="J22" s="506"/>
      <c r="K22" s="268"/>
      <c r="L22" s="268"/>
      <c r="M22" s="268"/>
      <c r="Z22" s="573"/>
    </row>
    <row r="23" spans="1:26" ht="88.5" customHeight="1" x14ac:dyDescent="0.3">
      <c r="A23" s="406" t="s">
        <v>731</v>
      </c>
      <c r="B23" s="412"/>
      <c r="C23" s="412"/>
      <c r="D23" s="990" t="str">
        <f>+M23</f>
        <v/>
      </c>
      <c r="E23" s="558" t="s">
        <v>1139</v>
      </c>
      <c r="F23" s="989" t="str">
        <f>+M23</f>
        <v/>
      </c>
      <c r="G23" s="559" t="s">
        <v>1697</v>
      </c>
      <c r="H23" s="559" t="s">
        <v>1177</v>
      </c>
      <c r="I23" s="534"/>
      <c r="J23" s="506"/>
      <c r="K23" s="268">
        <v>1000</v>
      </c>
      <c r="L23" s="268"/>
      <c r="M23" s="979" t="str">
        <f>IFERROR((+Import!L94-Import!L93)/Import!L95,"")</f>
        <v/>
      </c>
      <c r="Z23" s="573" t="s">
        <v>1451</v>
      </c>
    </row>
    <row r="24" spans="1:26" x14ac:dyDescent="0.3">
      <c r="A24" s="287"/>
      <c r="B24" s="526"/>
      <c r="C24" s="526"/>
      <c r="D24" s="526"/>
      <c r="E24" s="527"/>
      <c r="F24" s="526"/>
      <c r="G24" s="528"/>
      <c r="H24" s="526"/>
      <c r="I24" s="526"/>
      <c r="M24" s="274"/>
      <c r="Z24" s="574"/>
    </row>
    <row r="25" spans="1:26" x14ac:dyDescent="0.3">
      <c r="A25" s="529" t="s">
        <v>1140</v>
      </c>
      <c r="B25" s="288"/>
      <c r="C25" s="288"/>
      <c r="D25" s="288">
        <f>+D4</f>
        <v>2021</v>
      </c>
      <c r="E25" s="285" t="s">
        <v>1698</v>
      </c>
      <c r="F25" s="511"/>
      <c r="G25" s="285"/>
      <c r="H25" s="284" t="s">
        <v>1138</v>
      </c>
      <c r="I25" s="497"/>
    </row>
    <row r="26" spans="1:26" ht="148.5" customHeight="1" x14ac:dyDescent="0.3">
      <c r="A26" s="1396" t="s">
        <v>1211</v>
      </c>
      <c r="B26" s="1397"/>
      <c r="C26" s="1398"/>
      <c r="D26" s="531" t="b">
        <f>IF(Import!L258=1,"Yes",IF(Import!L258=2,"No"))</f>
        <v>0</v>
      </c>
      <c r="E26" s="967" t="s">
        <v>1143</v>
      </c>
      <c r="F26" s="531" t="b">
        <f>D26</f>
        <v>0</v>
      </c>
      <c r="G26" s="533" t="s">
        <v>1163</v>
      </c>
      <c r="H26" s="576" t="s">
        <v>1179</v>
      </c>
      <c r="I26" s="534"/>
      <c r="J26" s="506"/>
      <c r="Z26" s="573" t="s">
        <v>1438</v>
      </c>
    </row>
    <row r="27" spans="1:26" ht="18" customHeight="1" x14ac:dyDescent="0.3">
      <c r="A27" s="289"/>
      <c r="B27" s="511"/>
      <c r="C27" s="511"/>
      <c r="D27" s="284">
        <f>+D4</f>
        <v>2021</v>
      </c>
      <c r="E27" s="983"/>
      <c r="F27" s="511"/>
      <c r="G27" s="962"/>
      <c r="H27" s="511"/>
      <c r="I27" s="511"/>
      <c r="Z27" s="572"/>
    </row>
    <row r="28" spans="1:26" ht="121.2" customHeight="1" x14ac:dyDescent="0.3">
      <c r="A28" s="1396" t="s">
        <v>1354</v>
      </c>
      <c r="B28" s="1397"/>
      <c r="C28" s="1398"/>
      <c r="D28" s="291" t="e">
        <f>(+Import!L67-Import!L68)/Import!L68</f>
        <v>#DIV/0!</v>
      </c>
      <c r="E28" s="967" t="s">
        <v>1144</v>
      </c>
      <c r="F28" s="292" t="e">
        <f>+D28</f>
        <v>#DIV/0!</v>
      </c>
      <c r="G28" s="961" t="s">
        <v>1168</v>
      </c>
      <c r="H28" s="533" t="s">
        <v>1404</v>
      </c>
      <c r="I28" s="534"/>
      <c r="J28" s="506"/>
      <c r="Z28" s="161" t="s">
        <v>1439</v>
      </c>
    </row>
    <row r="29" spans="1:26" ht="18" customHeight="1" x14ac:dyDescent="0.3">
      <c r="A29" s="289"/>
      <c r="B29" s="511"/>
      <c r="C29" s="511"/>
      <c r="D29" s="284">
        <f>+D4</f>
        <v>2021</v>
      </c>
      <c r="E29" s="983"/>
      <c r="F29" s="511"/>
      <c r="G29" s="513"/>
      <c r="H29" s="511"/>
      <c r="I29" s="511"/>
      <c r="J29" s="535"/>
      <c r="Z29" s="572"/>
    </row>
    <row r="30" spans="1:26" ht="91.5" customHeight="1" x14ac:dyDescent="0.3">
      <c r="A30" s="1396" t="s">
        <v>1690</v>
      </c>
      <c r="B30" s="1397"/>
      <c r="C30" s="1398"/>
      <c r="D30" s="531" t="b">
        <f>IF(Import!L244=20,"Increase",IF(Import!L244=21,"Decrease",IF(Import!L244=22,"No Change",IF(Import!L244=23,"N/A"))))</f>
        <v>0</v>
      </c>
      <c r="E30" s="967" t="s">
        <v>1145</v>
      </c>
      <c r="F30" s="531" t="b">
        <f>D30</f>
        <v>0</v>
      </c>
      <c r="G30" s="533" t="s">
        <v>1169</v>
      </c>
      <c r="H30" s="972" t="s">
        <v>1691</v>
      </c>
      <c r="I30" s="394"/>
      <c r="J30" s="278"/>
      <c r="K30" s="506"/>
      <c r="Z30" s="161" t="s">
        <v>1439</v>
      </c>
    </row>
    <row r="31" spans="1:26" ht="18" customHeight="1" x14ac:dyDescent="0.3">
      <c r="A31" s="289"/>
      <c r="B31" s="511"/>
      <c r="C31" s="511"/>
      <c r="D31" s="284">
        <f>+D4</f>
        <v>2021</v>
      </c>
      <c r="E31" s="512"/>
      <c r="F31" s="511"/>
      <c r="G31" s="962"/>
      <c r="H31" s="963"/>
      <c r="I31" s="511"/>
      <c r="J31" s="536"/>
      <c r="Z31" s="572"/>
    </row>
    <row r="32" spans="1:26" ht="103.5" customHeight="1" x14ac:dyDescent="0.3">
      <c r="A32" s="1396" t="s">
        <v>1410</v>
      </c>
      <c r="B32" s="1402"/>
      <c r="C32" s="537"/>
      <c r="D32" s="293" t="str">
        <f>IF(Import!L256=1,"Yes",IF(Import!L256=2,"No",IF(Import!L256=0,"Question required to be answered")))</f>
        <v>Question required to be answered</v>
      </c>
      <c r="E32" s="530" t="s">
        <v>1173</v>
      </c>
      <c r="F32" s="524" t="str">
        <f>+D32</f>
        <v>Question required to be answered</v>
      </c>
      <c r="G32" s="961" t="s">
        <v>1164</v>
      </c>
      <c r="H32" s="533" t="s">
        <v>1405</v>
      </c>
      <c r="I32" s="534"/>
      <c r="J32" s="506"/>
      <c r="Z32" s="161" t="s">
        <v>1440</v>
      </c>
    </row>
    <row r="33" spans="1:26" ht="18" customHeight="1" x14ac:dyDescent="0.3">
      <c r="A33" s="289"/>
      <c r="B33" s="511"/>
      <c r="C33" s="511"/>
      <c r="D33" s="284">
        <f>+D4</f>
        <v>2021</v>
      </c>
      <c r="E33" s="512"/>
      <c r="F33" s="538"/>
      <c r="G33" s="962"/>
      <c r="H33" s="963"/>
      <c r="I33" s="511"/>
      <c r="Z33" s="572"/>
    </row>
    <row r="34" spans="1:26" ht="89.25" customHeight="1" x14ac:dyDescent="0.3">
      <c r="A34" s="1403" t="s">
        <v>1355</v>
      </c>
      <c r="B34" s="1404"/>
      <c r="C34" s="539"/>
      <c r="D34" s="294" t="str">
        <f>IF(Import!L191&gt;(Import!L155+Import!L158)*0.03,"Yes","No")</f>
        <v>No</v>
      </c>
      <c r="E34" s="984"/>
      <c r="F34" s="382" t="str">
        <f>+D34</f>
        <v>No</v>
      </c>
      <c r="G34" s="961" t="s">
        <v>1170</v>
      </c>
      <c r="H34" s="533" t="s">
        <v>1180</v>
      </c>
      <c r="I34" s="534"/>
      <c r="J34" s="506"/>
      <c r="M34" s="495" t="s">
        <v>1141</v>
      </c>
      <c r="Z34" s="161" t="s">
        <v>1440</v>
      </c>
    </row>
    <row r="35" spans="1:26" ht="18" customHeight="1" x14ac:dyDescent="0.3">
      <c r="A35" s="289"/>
      <c r="B35" s="511"/>
      <c r="C35" s="511"/>
      <c r="D35" s="284">
        <f>+D4</f>
        <v>2021</v>
      </c>
      <c r="E35" s="512"/>
      <c r="F35" s="511"/>
      <c r="G35" s="513"/>
      <c r="H35" s="511"/>
      <c r="I35" s="511"/>
      <c r="Z35" s="572"/>
    </row>
    <row r="36" spans="1:26" ht="165" customHeight="1" x14ac:dyDescent="0.3">
      <c r="A36" s="1399" t="s">
        <v>1692</v>
      </c>
      <c r="B36" s="1400"/>
      <c r="C36" s="1401"/>
      <c r="D36" s="966" t="str">
        <f>IFERROR(VLOOKUP(B3,UAL!A3:D141,4,FALSE),"Unit is not on the Unit Assistance List at this time")</f>
        <v>Unit is not on the Unit Assistance List at this time</v>
      </c>
      <c r="E36" s="967" t="s">
        <v>1693</v>
      </c>
      <c r="F36" s="968" t="str">
        <f>D36</f>
        <v>Unit is not on the Unit Assistance List at this time</v>
      </c>
      <c r="G36" s="540"/>
      <c r="H36" s="541" t="s">
        <v>1445</v>
      </c>
      <c r="I36" s="534"/>
      <c r="J36" s="506"/>
      <c r="K36" s="542" t="e">
        <f>VLOOKUP(B3,UAL!A3:D141,4,FALSE)</f>
        <v>#N/A</v>
      </c>
      <c r="Z36" s="161" t="s">
        <v>1441</v>
      </c>
    </row>
    <row r="37" spans="1:26" ht="18" customHeight="1" x14ac:dyDescent="0.3">
      <c r="A37" s="289"/>
      <c r="B37" s="511"/>
      <c r="C37" s="511"/>
      <c r="D37" s="284">
        <f>+D4</f>
        <v>2021</v>
      </c>
      <c r="E37" s="512"/>
      <c r="F37" s="511"/>
      <c r="G37" s="513"/>
      <c r="H37" s="511"/>
      <c r="I37" s="511"/>
      <c r="Z37" s="572"/>
    </row>
    <row r="38" spans="1:26" ht="43.2" x14ac:dyDescent="0.3">
      <c r="A38" s="1406" t="s">
        <v>1412</v>
      </c>
      <c r="B38" s="1407"/>
      <c r="C38" s="964"/>
      <c r="D38" s="295" t="str">
        <f>IF(Import!L257=1,"Yes",IF(Import!L257=2,"No",IF(Import!L257="0","This questions must be answered")))</f>
        <v>This questions must be answered</v>
      </c>
      <c r="E38" s="530"/>
      <c r="F38" s="566" t="str">
        <f>+D38</f>
        <v>This questions must be answered</v>
      </c>
      <c r="G38" s="961" t="s">
        <v>1171</v>
      </c>
      <c r="H38" s="533" t="s">
        <v>1216</v>
      </c>
      <c r="I38" s="534"/>
      <c r="J38" s="506"/>
      <c r="Z38" s="161" t="s">
        <v>1440</v>
      </c>
    </row>
    <row r="39" spans="1:26" ht="18" customHeight="1" x14ac:dyDescent="0.3">
      <c r="A39" s="965"/>
      <c r="B39" s="963"/>
      <c r="C39" s="963"/>
      <c r="D39" s="284">
        <f>+D4</f>
        <v>2021</v>
      </c>
      <c r="E39" s="512"/>
      <c r="F39" s="538"/>
      <c r="G39" s="962"/>
      <c r="H39" s="963"/>
      <c r="I39" s="511"/>
      <c r="Z39" s="572"/>
    </row>
    <row r="40" spans="1:26" ht="57.75" customHeight="1" x14ac:dyDescent="0.3">
      <c r="A40" s="1399" t="s">
        <v>1429</v>
      </c>
      <c r="B40" s="1405"/>
      <c r="C40" s="964"/>
      <c r="D40" s="295" t="str">
        <f>IF(Import!L253=1,"Yes",IF(Import!L253=2,"No",IF(Import!L253=3,"N/A",IF(Import!L253=0,"This questions must be answered"))))</f>
        <v>This questions must be answered</v>
      </c>
      <c r="E40" s="530"/>
      <c r="F40" s="531" t="str">
        <f>D40</f>
        <v>This questions must be answered</v>
      </c>
      <c r="G40" s="961" t="s">
        <v>1430</v>
      </c>
      <c r="H40" s="533" t="s">
        <v>1446</v>
      </c>
      <c r="I40" s="534"/>
      <c r="J40" s="506"/>
      <c r="Z40" s="577" t="s">
        <v>1442</v>
      </c>
    </row>
    <row r="41" spans="1:26" ht="18" customHeight="1" x14ac:dyDescent="0.3">
      <c r="A41" s="965"/>
      <c r="B41" s="963"/>
      <c r="C41" s="963"/>
      <c r="D41" s="284">
        <f>+D4</f>
        <v>2021</v>
      </c>
      <c r="E41" s="512"/>
      <c r="F41" s="511"/>
      <c r="G41" s="962"/>
      <c r="H41" s="963"/>
      <c r="I41" s="511"/>
      <c r="Z41" s="572"/>
    </row>
    <row r="42" spans="1:26" ht="67.5" customHeight="1" x14ac:dyDescent="0.3">
      <c r="A42" s="1399" t="s">
        <v>1694</v>
      </c>
      <c r="B42" s="1400"/>
      <c r="C42" s="1401"/>
      <c r="D42" s="543" t="b">
        <f>IF(Import!L193=1,"Yes",IF(Import!L193=2,"No",IF(Import!L193=3,"N/A")))</f>
        <v>0</v>
      </c>
      <c r="E42" s="530"/>
      <c r="F42" s="531" t="b">
        <f>+D42</f>
        <v>0</v>
      </c>
      <c r="G42" s="961" t="s">
        <v>1213</v>
      </c>
      <c r="H42" s="533" t="s">
        <v>1181</v>
      </c>
      <c r="I42" s="534"/>
      <c r="J42" s="506"/>
      <c r="Z42" s="161" t="s">
        <v>1439</v>
      </c>
    </row>
    <row r="43" spans="1:26" ht="18" customHeight="1" x14ac:dyDescent="0.3">
      <c r="A43" s="289"/>
      <c r="B43" s="511"/>
      <c r="C43" s="511"/>
      <c r="D43" s="284">
        <f>+D4</f>
        <v>2021</v>
      </c>
      <c r="E43" s="512"/>
      <c r="F43" s="511"/>
      <c r="G43" s="513"/>
      <c r="H43" s="511"/>
      <c r="I43" s="511"/>
      <c r="Z43" s="572"/>
    </row>
    <row r="44" spans="1:26" ht="68.25" customHeight="1" x14ac:dyDescent="0.3">
      <c r="A44" s="290" t="s">
        <v>1142</v>
      </c>
      <c r="B44" s="544"/>
      <c r="C44" s="537"/>
      <c r="D44" s="400" t="e">
        <f>+K44+L44+M44+Import!L250+Import!L251+Import!L254</f>
        <v>#VALUE!</v>
      </c>
      <c r="E44" s="530"/>
      <c r="F44" s="387"/>
      <c r="G44" s="525" t="s">
        <v>1165</v>
      </c>
      <c r="H44" s="533" t="s">
        <v>1182</v>
      </c>
      <c r="I44" s="534"/>
      <c r="J44" s="506"/>
      <c r="K44" s="516">
        <f>IF(Import!L247=1,1,0)</f>
        <v>0</v>
      </c>
      <c r="L44" s="516">
        <f>IF(Import!L248=1,1,0)</f>
        <v>0</v>
      </c>
      <c r="M44" s="516">
        <f>IF(Import!L249=1,1,0)</f>
        <v>0</v>
      </c>
      <c r="Z44" s="161"/>
    </row>
    <row r="45" spans="1:26" ht="18" customHeight="1" x14ac:dyDescent="0.3">
      <c r="A45" s="289"/>
      <c r="B45" s="511"/>
      <c r="C45" s="511"/>
      <c r="D45" s="284">
        <f>+D4</f>
        <v>2021</v>
      </c>
      <c r="E45" s="512"/>
      <c r="F45" s="511"/>
      <c r="G45" s="513"/>
      <c r="H45" s="511"/>
      <c r="I45" s="511"/>
      <c r="Z45" s="572"/>
    </row>
    <row r="46" spans="1:26" ht="184.95" customHeight="1" x14ac:dyDescent="0.3">
      <c r="A46" s="1399" t="s">
        <v>1172</v>
      </c>
      <c r="B46" s="1400"/>
      <c r="C46" s="1401"/>
      <c r="D46" s="969" t="e">
        <f>IF('Electric trans'!F29="No, unit exceeds limit by:","Yes","No")</f>
        <v>#N/A</v>
      </c>
      <c r="E46" s="967"/>
      <c r="F46" s="970" t="e">
        <f>+D46</f>
        <v>#N/A</v>
      </c>
      <c r="G46" s="961" t="s">
        <v>1223</v>
      </c>
      <c r="H46" s="533" t="s">
        <v>1407</v>
      </c>
      <c r="I46" s="534"/>
      <c r="J46" s="506"/>
      <c r="Z46" s="161" t="s">
        <v>1443</v>
      </c>
    </row>
    <row r="47" spans="1:26" ht="18" customHeight="1" x14ac:dyDescent="0.3">
      <c r="A47" s="497"/>
      <c r="B47" s="497"/>
      <c r="C47" s="497"/>
      <c r="D47" s="545"/>
      <c r="E47" s="546"/>
      <c r="F47" s="545"/>
      <c r="G47" s="547"/>
      <c r="H47" s="497"/>
      <c r="I47" s="511"/>
      <c r="Z47" s="568"/>
    </row>
    <row r="48" spans="1:26" ht="116.25" customHeight="1" x14ac:dyDescent="0.3">
      <c r="A48" s="1393" t="s">
        <v>1222</v>
      </c>
      <c r="B48" s="1394"/>
      <c r="C48" s="1395"/>
      <c r="D48" s="971">
        <f>+Import!L254</f>
        <v>0</v>
      </c>
      <c r="E48" s="558" t="s">
        <v>1431</v>
      </c>
      <c r="F48" s="985">
        <f>+D48</f>
        <v>0</v>
      </c>
      <c r="G48" s="548"/>
      <c r="H48" s="395"/>
      <c r="I48" s="567"/>
      <c r="J48" s="506"/>
      <c r="Z48" s="161" t="s">
        <v>1444</v>
      </c>
    </row>
    <row r="49" spans="1:26" x14ac:dyDescent="0.3">
      <c r="A49" s="536"/>
      <c r="B49" s="536"/>
      <c r="C49" s="536"/>
      <c r="G49" s="549"/>
      <c r="H49" s="536"/>
      <c r="I49" s="536"/>
      <c r="Z49" s="574"/>
    </row>
  </sheetData>
  <mergeCells count="18">
    <mergeCell ref="A26:C26"/>
    <mergeCell ref="A15:C15"/>
    <mergeCell ref="G1:H1"/>
    <mergeCell ref="B2:D2"/>
    <mergeCell ref="H2:H3"/>
    <mergeCell ref="B3:D3"/>
    <mergeCell ref="E2:G3"/>
    <mergeCell ref="G11:H11"/>
    <mergeCell ref="A48:C48"/>
    <mergeCell ref="A28:C28"/>
    <mergeCell ref="A30:C30"/>
    <mergeCell ref="A36:C36"/>
    <mergeCell ref="A46:C46"/>
    <mergeCell ref="A32:B32"/>
    <mergeCell ref="A34:B34"/>
    <mergeCell ref="A40:B40"/>
    <mergeCell ref="A38:B38"/>
    <mergeCell ref="A42:C42"/>
  </mergeCells>
  <conditionalFormatting sqref="F12">
    <cfRule type="cellIs" dxfId="24" priority="50" operator="lessThan">
      <formula>1</formula>
    </cfRule>
  </conditionalFormatting>
  <conditionalFormatting sqref="F13">
    <cfRule type="cellIs" dxfId="23" priority="49" operator="lessThan">
      <formula>0</formula>
    </cfRule>
  </conditionalFormatting>
  <conditionalFormatting sqref="F14">
    <cfRule type="cellIs" dxfId="22" priority="48" operator="lessThan">
      <formula>0.16</formula>
    </cfRule>
  </conditionalFormatting>
  <conditionalFormatting sqref="F18">
    <cfRule type="cellIs" dxfId="21" priority="43" operator="lessThan">
      <formula>1</formula>
    </cfRule>
  </conditionalFormatting>
  <conditionalFormatting sqref="F19">
    <cfRule type="cellIs" dxfId="20" priority="42" operator="lessThan">
      <formula>0</formula>
    </cfRule>
  </conditionalFormatting>
  <conditionalFormatting sqref="F20">
    <cfRule type="cellIs" dxfId="19" priority="41" operator="lessThan">
      <formula>0.16</formula>
    </cfRule>
  </conditionalFormatting>
  <conditionalFormatting sqref="F26">
    <cfRule type="cellIs" dxfId="18" priority="40" operator="equal">
      <formula>"No"</formula>
    </cfRule>
  </conditionalFormatting>
  <conditionalFormatting sqref="F28">
    <cfRule type="cellIs" dxfId="17" priority="38" operator="lessThan">
      <formula>-0.03</formula>
    </cfRule>
  </conditionalFormatting>
  <conditionalFormatting sqref="F34">
    <cfRule type="cellIs" dxfId="16" priority="18" operator="equal">
      <formula>"Yes"</formula>
    </cfRule>
  </conditionalFormatting>
  <conditionalFormatting sqref="F36">
    <cfRule type="cellIs" dxfId="15" priority="36" operator="equal">
      <formula>"Yes"</formula>
    </cfRule>
  </conditionalFormatting>
  <conditionalFormatting sqref="F38">
    <cfRule type="cellIs" dxfId="14" priority="34" operator="equal">
      <formula>"Yes"</formula>
    </cfRule>
  </conditionalFormatting>
  <conditionalFormatting sqref="F40">
    <cfRule type="cellIs" dxfId="13" priority="33" operator="equal">
      <formula>"Yes"</formula>
    </cfRule>
  </conditionalFormatting>
  <conditionalFormatting sqref="F32">
    <cfRule type="cellIs" dxfId="12" priority="32" operator="equal">
      <formula>"No"</formula>
    </cfRule>
  </conditionalFormatting>
  <conditionalFormatting sqref="F10">
    <cfRule type="cellIs" dxfId="11" priority="30" operator="lessThan">
      <formula>0</formula>
    </cfRule>
  </conditionalFormatting>
  <conditionalFormatting sqref="F47">
    <cfRule type="cellIs" dxfId="10" priority="25" operator="equal">
      <formula>"Yes"</formula>
    </cfRule>
  </conditionalFormatting>
  <conditionalFormatting sqref="F46">
    <cfRule type="cellIs" dxfId="9" priority="24" operator="equal">
      <formula>"Yes"</formula>
    </cfRule>
  </conditionalFormatting>
  <conditionalFormatting sqref="F42">
    <cfRule type="cellIs" dxfId="8" priority="17" operator="equal">
      <formula>"No"</formula>
    </cfRule>
  </conditionalFormatting>
  <conditionalFormatting sqref="F30">
    <cfRule type="cellIs" dxfId="7" priority="16" operator="equal">
      <formula>"Decrease"</formula>
    </cfRule>
  </conditionalFormatting>
  <conditionalFormatting sqref="F48">
    <cfRule type="cellIs" dxfId="6" priority="13" operator="greaterThan">
      <formula>0</formula>
    </cfRule>
  </conditionalFormatting>
  <conditionalFormatting sqref="F44">
    <cfRule type="expression" dxfId="5" priority="12">
      <formula>$D$44&gt;0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1" sqref="F1"/>
    </sheetView>
  </sheetViews>
  <sheetFormatPr defaultColWidth="9.109375" defaultRowHeight="14.4" x14ac:dyDescent="0.3"/>
  <cols>
    <col min="1" max="1" width="9.109375" style="304"/>
    <col min="2" max="2" width="10.44140625" style="304" bestFit="1" customWidth="1"/>
    <col min="3" max="3" width="29.88671875" style="304" customWidth="1"/>
    <col min="4" max="4" width="40.5546875" style="304" customWidth="1"/>
    <col min="5" max="5" width="3.6640625" style="304" customWidth="1"/>
    <col min="6" max="6" width="13.44140625" style="304" customWidth="1"/>
    <col min="7" max="7" width="3.5546875" style="304" customWidth="1"/>
    <col min="8" max="8" width="14.109375" style="304" customWidth="1"/>
    <col min="9" max="16384" width="9.109375" style="304"/>
  </cols>
  <sheetData>
    <row r="2" spans="1:8" ht="54.75" customHeight="1" x14ac:dyDescent="0.3">
      <c r="A2" s="1423" t="s">
        <v>112</v>
      </c>
      <c r="B2" s="1423"/>
      <c r="C2" s="1423"/>
      <c r="D2" s="1423"/>
      <c r="E2" s="1423"/>
      <c r="F2" s="456"/>
      <c r="G2" s="456"/>
      <c r="H2" s="457"/>
    </row>
    <row r="4" spans="1:8" ht="15.6" x14ac:dyDescent="0.3">
      <c r="A4" s="457"/>
      <c r="B4" s="458" t="str">
        <f>'Unit Data from Audit Worksheet'!D2</f>
        <v>Select Unit Name from Drop Down List</v>
      </c>
      <c r="C4" s="459"/>
      <c r="D4" s="19"/>
      <c r="E4" s="20"/>
      <c r="F4" s="460">
        <f>'Unit Data from Audit Worksheet'!F5</f>
        <v>2021</v>
      </c>
      <c r="G4" s="457"/>
      <c r="H4" s="460">
        <f>'Unit Data from Audit Worksheet'!F5</f>
        <v>2021</v>
      </c>
    </row>
    <row r="5" spans="1:8" ht="41.4" x14ac:dyDescent="0.4">
      <c r="A5" s="461"/>
      <c r="B5" s="462" t="s">
        <v>72</v>
      </c>
      <c r="C5" s="461"/>
      <c r="D5" s="461"/>
      <c r="E5" s="461"/>
      <c r="F5" s="460" t="s">
        <v>73</v>
      </c>
      <c r="G5" s="461"/>
      <c r="H5" s="463" t="s">
        <v>74</v>
      </c>
    </row>
    <row r="6" spans="1:8" x14ac:dyDescent="0.3">
      <c r="A6" s="457"/>
      <c r="B6" s="464" t="s">
        <v>75</v>
      </c>
      <c r="C6" s="457"/>
      <c r="D6" s="465"/>
      <c r="E6" s="465"/>
      <c r="F6" s="465"/>
      <c r="G6" s="465"/>
      <c r="H6" s="465"/>
    </row>
    <row r="7" spans="1:8" x14ac:dyDescent="0.3">
      <c r="A7" s="457"/>
      <c r="B7" s="465" t="s">
        <v>76</v>
      </c>
      <c r="C7" s="457"/>
      <c r="D7" s="465"/>
      <c r="E7" s="465" t="s">
        <v>31</v>
      </c>
      <c r="F7" s="466">
        <f>Import!L52</f>
        <v>0</v>
      </c>
      <c r="G7" s="467"/>
      <c r="H7" s="466">
        <f>F7</f>
        <v>0</v>
      </c>
    </row>
    <row r="8" spans="1:8" ht="44.25" customHeight="1" x14ac:dyDescent="0.3">
      <c r="A8" s="457"/>
      <c r="B8" s="1420" t="s">
        <v>77</v>
      </c>
      <c r="C8" s="1420"/>
      <c r="D8" s="1420"/>
      <c r="E8" s="465" t="s">
        <v>31</v>
      </c>
      <c r="F8" s="468">
        <f>Import!L53</f>
        <v>0</v>
      </c>
      <c r="G8" s="469"/>
      <c r="H8" s="469"/>
    </row>
    <row r="9" spans="1:8" x14ac:dyDescent="0.3">
      <c r="A9" s="457"/>
      <c r="B9" s="457"/>
      <c r="C9" s="465" t="s">
        <v>181</v>
      </c>
      <c r="D9" s="457"/>
      <c r="E9" s="465" t="s">
        <v>31</v>
      </c>
      <c r="F9" s="470">
        <f>Import!L57</f>
        <v>0</v>
      </c>
      <c r="G9" s="469"/>
      <c r="H9" s="455">
        <f>F9</f>
        <v>0</v>
      </c>
    </row>
    <row r="10" spans="1:8" x14ac:dyDescent="0.3">
      <c r="A10" s="457"/>
      <c r="B10" s="457"/>
      <c r="C10" s="465" t="s">
        <v>78</v>
      </c>
      <c r="D10" s="457"/>
      <c r="E10" s="465" t="s">
        <v>31</v>
      </c>
      <c r="F10" s="455">
        <f>Import!L230</f>
        <v>0</v>
      </c>
      <c r="G10" s="469"/>
      <c r="H10" s="455">
        <f>F10</f>
        <v>0</v>
      </c>
    </row>
    <row r="11" spans="1:8" x14ac:dyDescent="0.3">
      <c r="A11" s="457"/>
      <c r="B11" s="457"/>
      <c r="C11" s="465" t="s">
        <v>79</v>
      </c>
      <c r="D11" s="457"/>
      <c r="E11" s="465" t="s">
        <v>31</v>
      </c>
      <c r="F11" s="471">
        <f>Import!L58</f>
        <v>0</v>
      </c>
      <c r="G11" s="472"/>
      <c r="H11" s="471">
        <f>F11</f>
        <v>0</v>
      </c>
    </row>
    <row r="12" spans="1:8" x14ac:dyDescent="0.3">
      <c r="A12" s="457"/>
      <c r="B12" s="21" t="s">
        <v>80</v>
      </c>
      <c r="C12" s="473" t="s">
        <v>81</v>
      </c>
      <c r="D12" s="474"/>
      <c r="E12" s="475" t="s">
        <v>31</v>
      </c>
      <c r="F12" s="476">
        <f>F7+F8-SUM(F9:F11)</f>
        <v>0</v>
      </c>
      <c r="G12" s="477"/>
      <c r="H12" s="476">
        <f>H7+H8-SUM(H9:H11)</f>
        <v>0</v>
      </c>
    </row>
    <row r="13" spans="1:8" x14ac:dyDescent="0.3">
      <c r="A13" s="457"/>
      <c r="B13" s="457"/>
      <c r="C13" s="465"/>
      <c r="D13" s="465"/>
      <c r="E13" s="465" t="s">
        <v>31</v>
      </c>
      <c r="F13" s="465"/>
      <c r="G13" s="465"/>
      <c r="H13" s="465"/>
    </row>
    <row r="14" spans="1:8" x14ac:dyDescent="0.3">
      <c r="A14" s="457"/>
      <c r="B14" s="465" t="s">
        <v>82</v>
      </c>
      <c r="C14" s="457"/>
      <c r="D14" s="465"/>
      <c r="E14" s="465" t="s">
        <v>31</v>
      </c>
      <c r="F14" s="478">
        <f>Import!L65</f>
        <v>0</v>
      </c>
      <c r="G14" s="465"/>
      <c r="H14" s="465"/>
    </row>
    <row r="15" spans="1:8" x14ac:dyDescent="0.3">
      <c r="A15" s="457"/>
      <c r="B15" s="465" t="s">
        <v>83</v>
      </c>
      <c r="C15" s="457"/>
      <c r="D15" s="465"/>
      <c r="E15" s="465" t="s">
        <v>31</v>
      </c>
      <c r="F15" s="479">
        <f>F14-F12</f>
        <v>0</v>
      </c>
      <c r="G15" s="465"/>
      <c r="H15" s="465"/>
    </row>
    <row r="16" spans="1:8" x14ac:dyDescent="0.3">
      <c r="A16" s="457"/>
      <c r="B16" s="480" t="s">
        <v>84</v>
      </c>
      <c r="C16" s="457"/>
      <c r="D16" s="465"/>
      <c r="E16" s="465"/>
      <c r="F16" s="465"/>
      <c r="G16" s="465"/>
      <c r="H16" s="465"/>
    </row>
    <row r="17" spans="2:8" x14ac:dyDescent="0.3">
      <c r="B17" s="481" t="s">
        <v>85</v>
      </c>
      <c r="C17" s="465" t="s">
        <v>86</v>
      </c>
      <c r="D17" s="457"/>
      <c r="E17" s="465" t="s">
        <v>31</v>
      </c>
      <c r="F17" s="482">
        <f>Import!L61</f>
        <v>0</v>
      </c>
      <c r="G17" s="465"/>
      <c r="H17" s="465"/>
    </row>
    <row r="18" spans="2:8" ht="15" thickBot="1" x14ac:dyDescent="0.35">
      <c r="B18" s="21" t="s">
        <v>80</v>
      </c>
      <c r="C18" s="473" t="s">
        <v>87</v>
      </c>
      <c r="D18" s="474"/>
      <c r="E18" s="475" t="s">
        <v>31</v>
      </c>
      <c r="F18" s="483">
        <f>(F15-SUM(F17:F17))</f>
        <v>0</v>
      </c>
      <c r="G18" s="465"/>
      <c r="H18" s="465"/>
    </row>
    <row r="19" spans="2:8" ht="15" thickTop="1" x14ac:dyDescent="0.3">
      <c r="B19" s="457"/>
      <c r="C19" s="465"/>
      <c r="D19" s="465"/>
      <c r="E19" s="465"/>
      <c r="F19" s="465"/>
      <c r="G19" s="465"/>
      <c r="H19" s="465"/>
    </row>
    <row r="20" spans="2:8" ht="15" thickBot="1" x14ac:dyDescent="0.35">
      <c r="B20" s="465" t="s">
        <v>88</v>
      </c>
      <c r="C20" s="457"/>
      <c r="D20" s="465"/>
      <c r="E20" s="465" t="s">
        <v>31</v>
      </c>
      <c r="F20" s="484">
        <f>Import!L60</f>
        <v>0</v>
      </c>
      <c r="G20" s="465"/>
      <c r="H20" s="465"/>
    </row>
    <row r="21" spans="2:8" ht="15.6" thickTop="1" thickBot="1" x14ac:dyDescent="0.35">
      <c r="B21" s="457"/>
      <c r="C21" s="485"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7"/>
      <c r="E21" s="465" t="s">
        <v>31</v>
      </c>
      <c r="F21" s="486">
        <f>ABS(F18-F20)</f>
        <v>0</v>
      </c>
      <c r="G21" s="465"/>
      <c r="H21" s="465"/>
    </row>
    <row r="22" spans="2:8" ht="50.25" customHeight="1" thickTop="1" x14ac:dyDescent="0.3">
      <c r="B22" s="457"/>
      <c r="C22" s="1421" t="str">
        <f>IF(F18&gt;F20,"Since Restricted-Stabilization by State Statute was understated, verfiy that the unit did not appropriate fund balance in excess of legal amount available in row 12 above.","")</f>
        <v/>
      </c>
      <c r="D22" s="1421"/>
      <c r="E22" s="1421"/>
      <c r="F22" s="1421"/>
      <c r="G22" s="465"/>
      <c r="H22" s="465"/>
    </row>
    <row r="23" spans="2:8" x14ac:dyDescent="0.3">
      <c r="B23" s="457"/>
      <c r="C23" s="1422" t="s">
        <v>89</v>
      </c>
      <c r="D23" s="465"/>
      <c r="E23" s="465"/>
      <c r="F23" s="465"/>
      <c r="G23" s="465"/>
      <c r="H23" s="487" t="s">
        <v>90</v>
      </c>
    </row>
    <row r="24" spans="2:8" x14ac:dyDescent="0.3">
      <c r="B24" s="457"/>
      <c r="C24" s="1422"/>
      <c r="D24" s="465"/>
      <c r="E24" s="465"/>
      <c r="F24" s="460" t="s">
        <v>91</v>
      </c>
      <c r="G24" s="465"/>
      <c r="H24" s="460" t="s">
        <v>99</v>
      </c>
    </row>
    <row r="25" spans="2:8" x14ac:dyDescent="0.3">
      <c r="B25" s="457"/>
      <c r="C25" s="464" t="s">
        <v>92</v>
      </c>
      <c r="D25" s="465"/>
      <c r="E25" s="465"/>
      <c r="F25" s="465"/>
      <c r="G25" s="465"/>
      <c r="H25" s="465"/>
    </row>
    <row r="26" spans="2:8" ht="25.2" customHeight="1" x14ac:dyDescent="0.3">
      <c r="B26" s="457"/>
      <c r="C26" s="465" t="s">
        <v>93</v>
      </c>
      <c r="D26" s="465"/>
      <c r="E26" s="465" t="s">
        <v>31</v>
      </c>
      <c r="F26" s="466">
        <f>Import!L72</f>
        <v>0</v>
      </c>
      <c r="G26" s="467"/>
      <c r="H26" s="488">
        <f>F26</f>
        <v>0</v>
      </c>
    </row>
    <row r="27" spans="2:8" x14ac:dyDescent="0.3">
      <c r="B27" s="457"/>
      <c r="C27" s="481" t="s">
        <v>94</v>
      </c>
      <c r="D27" s="465"/>
      <c r="E27" s="465"/>
      <c r="F27" s="465"/>
      <c r="G27" s="465"/>
      <c r="H27" s="465"/>
    </row>
    <row r="28" spans="2:8" x14ac:dyDescent="0.3">
      <c r="B28" s="457"/>
      <c r="C28" s="465" t="s">
        <v>95</v>
      </c>
      <c r="D28" s="457"/>
      <c r="E28" s="465" t="s">
        <v>31</v>
      </c>
      <c r="F28" s="489">
        <f>Import!L74</f>
        <v>0</v>
      </c>
      <c r="G28" s="469"/>
      <c r="H28" s="490">
        <f>F28</f>
        <v>0</v>
      </c>
    </row>
    <row r="29" spans="2:8" x14ac:dyDescent="0.3">
      <c r="B29" s="457"/>
      <c r="C29" s="465" t="s">
        <v>96</v>
      </c>
      <c r="D29" s="457"/>
      <c r="E29" s="465" t="s">
        <v>31</v>
      </c>
      <c r="F29" s="491">
        <f>Import!L75+Import!L76</f>
        <v>0</v>
      </c>
      <c r="G29" s="469"/>
      <c r="H29" s="492">
        <f>F29</f>
        <v>0</v>
      </c>
    </row>
    <row r="30" spans="2:8" ht="15" thickBot="1" x14ac:dyDescent="0.35">
      <c r="B30" s="457"/>
      <c r="C30" s="465" t="s">
        <v>97</v>
      </c>
      <c r="D30" s="465"/>
      <c r="E30" s="465" t="s">
        <v>31</v>
      </c>
      <c r="F30" s="493">
        <f>SUM(F26:F28)-F29</f>
        <v>0</v>
      </c>
      <c r="G30" s="467"/>
      <c r="H30" s="493">
        <f>SUM(H26:H28)-H29</f>
        <v>0</v>
      </c>
    </row>
    <row r="31" spans="2:8" ht="15" thickTop="1" x14ac:dyDescent="0.3">
      <c r="B31" s="457"/>
      <c r="C31" s="465"/>
      <c r="D31" s="465"/>
      <c r="E31" s="465"/>
      <c r="F31" s="465"/>
      <c r="G31" s="465"/>
      <c r="H31" s="465"/>
    </row>
    <row r="32" spans="2:8" ht="15" thickBot="1" x14ac:dyDescent="0.35">
      <c r="B32" s="21" t="s">
        <v>80</v>
      </c>
      <c r="C32" s="485" t="s">
        <v>98</v>
      </c>
      <c r="D32" s="21"/>
      <c r="E32" s="485" t="s">
        <v>31</v>
      </c>
      <c r="F32" s="494" t="e">
        <f>F12/F30</f>
        <v>#DIV/0!</v>
      </c>
      <c r="G32" s="465"/>
      <c r="H32" s="494" t="e">
        <f>H12/H30</f>
        <v>#DIV/0!</v>
      </c>
    </row>
    <row r="33" spans="1:8" ht="15" thickTop="1" x14ac:dyDescent="0.3">
      <c r="C33" s="465"/>
      <c r="D33" s="465"/>
      <c r="E33" s="465"/>
      <c r="F33" s="465"/>
      <c r="G33" s="465"/>
      <c r="H33" s="465"/>
    </row>
    <row r="34" spans="1:8" ht="15.6" x14ac:dyDescent="0.3">
      <c r="A34" s="23"/>
      <c r="C34" s="22"/>
    </row>
    <row r="36" spans="1:8" x14ac:dyDescent="0.3">
      <c r="F36" s="305"/>
    </row>
    <row r="37" spans="1:8" x14ac:dyDescent="0.3">
      <c r="F37" s="129"/>
    </row>
    <row r="38" spans="1:8" x14ac:dyDescent="0.3">
      <c r="F38" s="129"/>
    </row>
    <row r="39" spans="1:8" x14ac:dyDescent="0.3">
      <c r="F39" s="129"/>
    </row>
    <row r="40" spans="1:8" x14ac:dyDescent="0.3">
      <c r="F40" s="129"/>
    </row>
    <row r="41" spans="1:8" x14ac:dyDescent="0.3">
      <c r="F41" s="129"/>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304" customWidth="1"/>
    <col min="4" max="4" width="18.6640625" style="718" customWidth="1"/>
    <col min="5" max="10" width="18.6640625" style="304" customWidth="1"/>
    <col min="11" max="16384" width="9.109375" style="304"/>
  </cols>
  <sheetData>
    <row r="3" spans="1:13" x14ac:dyDescent="0.3">
      <c r="D3" s="722">
        <v>2019</v>
      </c>
      <c r="E3" s="722">
        <v>2018</v>
      </c>
      <c r="F3" s="722">
        <v>2017</v>
      </c>
      <c r="G3" s="722">
        <v>2016</v>
      </c>
      <c r="H3" s="722">
        <v>2015</v>
      </c>
      <c r="I3" s="722">
        <v>2014</v>
      </c>
      <c r="J3" s="722">
        <v>2013</v>
      </c>
      <c r="K3" s="718"/>
      <c r="L3" s="718"/>
      <c r="M3" s="718"/>
    </row>
    <row r="4" spans="1:13" x14ac:dyDescent="0.3">
      <c r="A4" s="307" t="s">
        <v>784</v>
      </c>
      <c r="B4" s="307"/>
      <c r="C4" s="307" t="s">
        <v>785</v>
      </c>
      <c r="D4" s="721" t="s">
        <v>730</v>
      </c>
      <c r="E4" s="721" t="s">
        <v>730</v>
      </c>
      <c r="F4" s="721" t="s">
        <v>730</v>
      </c>
      <c r="G4" s="721" t="s">
        <v>730</v>
      </c>
      <c r="H4" s="721" t="s">
        <v>730</v>
      </c>
      <c r="I4" s="721" t="s">
        <v>730</v>
      </c>
      <c r="J4" s="721" t="s">
        <v>730</v>
      </c>
      <c r="K4" s="734"/>
    </row>
    <row r="5" spans="1:13" x14ac:dyDescent="0.3">
      <c r="A5" s="307">
        <v>5119</v>
      </c>
      <c r="B5" s="307" t="s">
        <v>761</v>
      </c>
      <c r="C5" s="307">
        <v>647</v>
      </c>
      <c r="D5" s="718">
        <v>20578691</v>
      </c>
      <c r="E5" s="718">
        <v>3249248</v>
      </c>
      <c r="F5" s="718">
        <v>2957570</v>
      </c>
      <c r="G5" s="718">
        <v>5709008</v>
      </c>
      <c r="H5" s="718">
        <v>5114434</v>
      </c>
      <c r="I5" s="718">
        <v>4562229</v>
      </c>
      <c r="J5" s="718">
        <v>4029652</v>
      </c>
    </row>
    <row r="6" spans="1:13" x14ac:dyDescent="0.3">
      <c r="A6" s="307">
        <v>5120</v>
      </c>
      <c r="B6" s="307" t="s">
        <v>762</v>
      </c>
      <c r="C6" s="307">
        <v>647</v>
      </c>
      <c r="D6" s="718">
        <v>0</v>
      </c>
      <c r="E6" s="718">
        <v>0</v>
      </c>
      <c r="F6" s="718">
        <v>0</v>
      </c>
      <c r="G6" s="718">
        <v>0</v>
      </c>
      <c r="H6" s="718">
        <v>0</v>
      </c>
      <c r="I6" s="718">
        <v>0</v>
      </c>
      <c r="J6" s="718">
        <v>0</v>
      </c>
    </row>
    <row r="7" spans="1:13" x14ac:dyDescent="0.3">
      <c r="A7" s="307">
        <v>5131</v>
      </c>
      <c r="B7" s="307" t="s">
        <v>763</v>
      </c>
      <c r="C7" s="307">
        <v>647</v>
      </c>
      <c r="D7" s="718">
        <v>37089245</v>
      </c>
      <c r="E7" s="718">
        <v>20299814</v>
      </c>
      <c r="F7" s="718">
        <v>8051571</v>
      </c>
      <c r="G7" s="718">
        <v>7371500</v>
      </c>
      <c r="H7" s="718">
        <v>5966665</v>
      </c>
      <c r="I7" s="718">
        <v>8207298</v>
      </c>
      <c r="J7" s="718">
        <v>7347048</v>
      </c>
    </row>
    <row r="8" spans="1:13" x14ac:dyDescent="0.3">
      <c r="A8" s="307">
        <v>5135</v>
      </c>
      <c r="B8" s="307" t="s">
        <v>764</v>
      </c>
      <c r="C8" s="307">
        <v>647</v>
      </c>
      <c r="D8" s="718">
        <v>0</v>
      </c>
      <c r="E8" s="718">
        <v>0</v>
      </c>
      <c r="F8" s="718">
        <v>4056482</v>
      </c>
      <c r="G8" s="718">
        <v>3922669</v>
      </c>
      <c r="H8" s="718">
        <v>3148233</v>
      </c>
      <c r="I8" s="718">
        <v>2755127</v>
      </c>
      <c r="J8" s="718">
        <v>2755127</v>
      </c>
    </row>
    <row r="9" spans="1:13" x14ac:dyDescent="0.3">
      <c r="A9" s="307">
        <v>5144</v>
      </c>
      <c r="B9" s="307" t="s">
        <v>765</v>
      </c>
      <c r="C9" s="307">
        <v>647</v>
      </c>
      <c r="D9" s="718">
        <v>7441890</v>
      </c>
      <c r="E9" s="718">
        <v>7441890</v>
      </c>
      <c r="F9" s="718">
        <v>4932241</v>
      </c>
      <c r="G9" s="718">
        <v>590997</v>
      </c>
      <c r="H9" s="718">
        <v>0</v>
      </c>
      <c r="I9" s="718">
        <v>3000000</v>
      </c>
      <c r="J9" s="718">
        <v>2390166</v>
      </c>
    </row>
    <row r="10" spans="1:13" x14ac:dyDescent="0.3">
      <c r="A10" s="307">
        <v>5155</v>
      </c>
      <c r="B10" s="307" t="s">
        <v>766</v>
      </c>
      <c r="C10" s="307">
        <v>647</v>
      </c>
      <c r="D10" s="718">
        <v>1008755</v>
      </c>
      <c r="E10" s="718">
        <v>781534</v>
      </c>
      <c r="F10" s="718">
        <v>663572</v>
      </c>
      <c r="G10" s="718">
        <v>6557774</v>
      </c>
      <c r="H10" s="718">
        <v>611355</v>
      </c>
      <c r="I10" s="718">
        <v>784361</v>
      </c>
      <c r="J10" s="718">
        <v>1022379</v>
      </c>
    </row>
    <row r="11" spans="1:13" x14ac:dyDescent="0.3">
      <c r="A11" s="307">
        <v>5158</v>
      </c>
      <c r="B11" s="307" t="s">
        <v>767</v>
      </c>
      <c r="C11" s="307">
        <v>647</v>
      </c>
      <c r="D11" s="718">
        <v>9</v>
      </c>
      <c r="E11" s="718">
        <v>9</v>
      </c>
      <c r="F11" s="718">
        <v>9</v>
      </c>
      <c r="G11" s="718">
        <v>9</v>
      </c>
      <c r="H11" s="718">
        <v>9</v>
      </c>
      <c r="I11" s="718">
        <v>9</v>
      </c>
      <c r="J11" s="718">
        <v>9</v>
      </c>
    </row>
    <row r="12" spans="1:13" x14ac:dyDescent="0.3">
      <c r="A12" s="307">
        <v>5159</v>
      </c>
      <c r="B12" s="307" t="s">
        <v>768</v>
      </c>
      <c r="C12" s="307">
        <v>647</v>
      </c>
      <c r="D12" s="718">
        <v>225639888</v>
      </c>
      <c r="E12" s="718">
        <v>219009306</v>
      </c>
      <c r="F12" s="718">
        <v>181812071</v>
      </c>
      <c r="G12" s="718">
        <v>193933610</v>
      </c>
      <c r="H12" s="718">
        <v>181583886</v>
      </c>
      <c r="I12" s="718">
        <v>0</v>
      </c>
      <c r="J12" s="718">
        <v>0</v>
      </c>
    </row>
    <row r="13" spans="1:13" x14ac:dyDescent="0.3">
      <c r="A13" s="307">
        <v>5164</v>
      </c>
      <c r="B13" s="307" t="s">
        <v>769</v>
      </c>
      <c r="C13" s="307">
        <v>647</v>
      </c>
      <c r="D13" s="718">
        <v>7132135</v>
      </c>
      <c r="E13" s="718">
        <v>5438631</v>
      </c>
      <c r="F13" s="718">
        <v>2427428</v>
      </c>
      <c r="G13" s="718">
        <v>157674</v>
      </c>
      <c r="H13" s="718">
        <v>0</v>
      </c>
      <c r="I13" s="718">
        <v>0</v>
      </c>
      <c r="J13" s="718">
        <v>0</v>
      </c>
    </row>
    <row r="14" spans="1:13" x14ac:dyDescent="0.3">
      <c r="A14" s="307">
        <v>5173</v>
      </c>
      <c r="B14" s="307" t="s">
        <v>770</v>
      </c>
      <c r="C14" s="307">
        <v>647</v>
      </c>
      <c r="D14" s="718">
        <v>422216</v>
      </c>
      <c r="E14" s="718">
        <v>2615544</v>
      </c>
      <c r="F14" s="718">
        <v>880554</v>
      </c>
      <c r="G14" s="718">
        <v>154942</v>
      </c>
      <c r="H14" s="718">
        <v>107456</v>
      </c>
      <c r="I14" s="718">
        <v>46240</v>
      </c>
      <c r="J14" s="718">
        <v>23390</v>
      </c>
    </row>
    <row r="15" spans="1:13" x14ac:dyDescent="0.3">
      <c r="A15" s="307">
        <v>5178</v>
      </c>
      <c r="B15" s="307" t="s">
        <v>771</v>
      </c>
      <c r="C15" s="307">
        <v>647</v>
      </c>
      <c r="D15" s="718">
        <v>75835</v>
      </c>
      <c r="E15" s="718">
        <v>66039</v>
      </c>
      <c r="F15" s="718">
        <v>57100</v>
      </c>
      <c r="G15" s="718">
        <v>52316</v>
      </c>
      <c r="H15" s="718">
        <v>23715</v>
      </c>
      <c r="I15" s="718">
        <v>899285</v>
      </c>
      <c r="J15" s="718">
        <v>1169608</v>
      </c>
    </row>
    <row r="16" spans="1:13" x14ac:dyDescent="0.3">
      <c r="A16" s="307">
        <v>5180</v>
      </c>
      <c r="B16" s="307" t="s">
        <v>772</v>
      </c>
      <c r="C16" s="307">
        <v>647</v>
      </c>
      <c r="D16" s="718">
        <v>4586780</v>
      </c>
      <c r="E16" s="718">
        <v>5165281</v>
      </c>
      <c r="F16" s="718">
        <v>4432068</v>
      </c>
      <c r="G16" s="718">
        <v>3558985</v>
      </c>
      <c r="H16" s="718">
        <v>2657915</v>
      </c>
      <c r="I16" s="718">
        <v>2071596</v>
      </c>
      <c r="J16" s="718">
        <v>1986034</v>
      </c>
    </row>
    <row r="17" spans="1:10" x14ac:dyDescent="0.3">
      <c r="A17" s="307">
        <v>5191</v>
      </c>
      <c r="B17" s="307" t="s">
        <v>773</v>
      </c>
      <c r="C17" s="307">
        <v>647</v>
      </c>
      <c r="D17" s="718">
        <v>111303046</v>
      </c>
      <c r="E17" s="718">
        <v>108974619</v>
      </c>
      <c r="F17" s="718">
        <v>120290900</v>
      </c>
      <c r="G17" s="718">
        <v>127448981</v>
      </c>
      <c r="H17" s="718">
        <v>153873846</v>
      </c>
      <c r="I17" s="718">
        <v>135252125</v>
      </c>
      <c r="J17" s="718">
        <v>169055200</v>
      </c>
    </row>
    <row r="18" spans="1:10" x14ac:dyDescent="0.3">
      <c r="A18" s="307">
        <v>50074</v>
      </c>
      <c r="B18" s="307" t="s">
        <v>774</v>
      </c>
      <c r="C18" s="307">
        <v>647</v>
      </c>
      <c r="D18" s="718">
        <v>7494829</v>
      </c>
      <c r="E18" s="718">
        <v>7189658</v>
      </c>
      <c r="F18" s="718">
        <v>7048523</v>
      </c>
      <c r="G18" s="718">
        <v>6615510</v>
      </c>
      <c r="H18" s="718">
        <v>5452410</v>
      </c>
      <c r="I18" s="718">
        <v>4803926</v>
      </c>
      <c r="J18" s="718">
        <v>5340180</v>
      </c>
    </row>
    <row r="19" spans="1:10" x14ac:dyDescent="0.3">
      <c r="A19" s="307">
        <v>50075</v>
      </c>
      <c r="B19" s="307" t="s">
        <v>775</v>
      </c>
      <c r="C19" s="307">
        <v>647</v>
      </c>
      <c r="D19" s="718">
        <v>266214000</v>
      </c>
      <c r="E19" s="718">
        <v>265541000</v>
      </c>
      <c r="F19" s="718">
        <v>274532000</v>
      </c>
      <c r="G19" s="718">
        <v>286138000</v>
      </c>
      <c r="H19" s="718">
        <v>295124000</v>
      </c>
      <c r="I19" s="718">
        <v>264645000</v>
      </c>
      <c r="J19" s="718">
        <v>231434000</v>
      </c>
    </row>
    <row r="20" spans="1:10" x14ac:dyDescent="0.3">
      <c r="A20" s="307">
        <v>50110</v>
      </c>
      <c r="B20" s="307" t="s">
        <v>776</v>
      </c>
      <c r="C20" s="307">
        <v>647</v>
      </c>
      <c r="D20" s="718">
        <v>46833536</v>
      </c>
      <c r="E20" s="718">
        <v>45660075</v>
      </c>
      <c r="F20" s="718">
        <v>8463820</v>
      </c>
      <c r="G20" s="718">
        <v>2663591</v>
      </c>
      <c r="H20" s="718">
        <v>2371109</v>
      </c>
      <c r="I20" s="718">
        <v>2878268</v>
      </c>
      <c r="J20" s="718">
        <v>4203755</v>
      </c>
    </row>
    <row r="21" spans="1:10" x14ac:dyDescent="0.3">
      <c r="A21" s="307">
        <v>50144</v>
      </c>
      <c r="B21" s="307" t="s">
        <v>777</v>
      </c>
      <c r="C21" s="307">
        <v>647</v>
      </c>
      <c r="D21" s="718">
        <v>4258932</v>
      </c>
      <c r="E21" s="718">
        <v>853434</v>
      </c>
      <c r="F21" s="718">
        <v>1622119</v>
      </c>
      <c r="G21" s="718">
        <v>1743258</v>
      </c>
      <c r="H21" s="718">
        <v>1740179</v>
      </c>
      <c r="I21" s="718">
        <v>1739958</v>
      </c>
      <c r="J21" s="718">
        <v>1739695</v>
      </c>
    </row>
    <row r="22" spans="1:10" x14ac:dyDescent="0.3">
      <c r="A22" s="307">
        <v>50159</v>
      </c>
      <c r="B22" s="307" t="s">
        <v>778</v>
      </c>
      <c r="C22" s="307">
        <v>647</v>
      </c>
      <c r="D22" s="718">
        <v>28636370</v>
      </c>
      <c r="E22" s="718">
        <v>23180822</v>
      </c>
      <c r="F22" s="718">
        <v>16487675</v>
      </c>
      <c r="G22" s="718">
        <v>10909425</v>
      </c>
      <c r="H22" s="718">
        <v>7878571</v>
      </c>
      <c r="I22" s="718">
        <v>5300679</v>
      </c>
      <c r="J22" s="718">
        <v>4801051</v>
      </c>
    </row>
    <row r="23" spans="1:10" x14ac:dyDescent="0.3">
      <c r="A23" s="307">
        <v>50160</v>
      </c>
      <c r="B23" s="307" t="s">
        <v>779</v>
      </c>
      <c r="C23" s="307">
        <v>647</v>
      </c>
      <c r="D23" s="718">
        <v>1134799</v>
      </c>
      <c r="E23" s="718">
        <v>894858</v>
      </c>
      <c r="F23" s="718">
        <v>1002425</v>
      </c>
      <c r="G23" s="718">
        <v>354061</v>
      </c>
      <c r="H23" s="718">
        <v>392698</v>
      </c>
      <c r="I23" s="718">
        <v>442800</v>
      </c>
      <c r="J23" s="718">
        <v>942821</v>
      </c>
    </row>
    <row r="24" spans="1:10" x14ac:dyDescent="0.3">
      <c r="A24" s="307">
        <v>50180</v>
      </c>
      <c r="B24" s="307" t="s">
        <v>780</v>
      </c>
      <c r="C24" s="307">
        <v>647</v>
      </c>
      <c r="D24" s="718">
        <v>13193040</v>
      </c>
      <c r="E24" s="718">
        <v>17058564</v>
      </c>
      <c r="F24" s="718">
        <v>16187505</v>
      </c>
      <c r="G24" s="718">
        <v>16428100</v>
      </c>
      <c r="H24" s="718">
        <v>16688416</v>
      </c>
      <c r="I24" s="718">
        <v>17840940</v>
      </c>
      <c r="J24" s="718">
        <v>18042019</v>
      </c>
    </row>
    <row r="25" spans="1:10" x14ac:dyDescent="0.3">
      <c r="A25" s="307">
        <v>50405</v>
      </c>
      <c r="B25" s="307" t="s">
        <v>781</v>
      </c>
      <c r="C25" s="307">
        <v>647</v>
      </c>
      <c r="D25" s="718">
        <v>302046</v>
      </c>
      <c r="E25" s="718">
        <v>1055143</v>
      </c>
      <c r="F25" s="718">
        <v>0</v>
      </c>
      <c r="G25" s="718">
        <v>0</v>
      </c>
      <c r="H25" s="718">
        <v>0</v>
      </c>
      <c r="I25" s="718">
        <v>0</v>
      </c>
      <c r="J25" s="718">
        <v>0</v>
      </c>
    </row>
    <row r="26" spans="1:10" x14ac:dyDescent="0.3">
      <c r="A26" s="307">
        <v>50425</v>
      </c>
      <c r="B26" s="307" t="s">
        <v>782</v>
      </c>
      <c r="C26" s="307">
        <v>647</v>
      </c>
      <c r="D26" s="718">
        <v>20836222</v>
      </c>
      <c r="E26" s="718">
        <v>16328642</v>
      </c>
      <c r="F26" s="718">
        <v>15202516</v>
      </c>
      <c r="G26" s="718">
        <v>12384500</v>
      </c>
      <c r="H26" s="718">
        <v>9788553</v>
      </c>
      <c r="I26" s="718">
        <v>7967199</v>
      </c>
      <c r="J26" s="718">
        <v>6398918</v>
      </c>
    </row>
    <row r="27" spans="1:10" x14ac:dyDescent="0.3">
      <c r="A27" s="307">
        <v>50431</v>
      </c>
      <c r="B27" s="307" t="s">
        <v>783</v>
      </c>
      <c r="C27" s="307">
        <v>647</v>
      </c>
      <c r="D27" s="718">
        <v>25542629</v>
      </c>
      <c r="E27" s="718">
        <v>24964077</v>
      </c>
      <c r="F27" s="718">
        <v>23618105</v>
      </c>
      <c r="G27" s="718">
        <v>22744716</v>
      </c>
      <c r="H27" s="718">
        <v>16714796</v>
      </c>
      <c r="I27" s="718">
        <v>13788676</v>
      </c>
      <c r="J27" s="718">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K20" sqref="K20"/>
    </sheetView>
  </sheetViews>
  <sheetFormatPr defaultColWidth="9.109375" defaultRowHeight="14.4" x14ac:dyDescent="0.3"/>
  <cols>
    <col min="1" max="1" width="9.109375" style="269"/>
    <col min="2" max="2" width="54.109375" style="269" customWidth="1"/>
    <col min="3" max="3" width="23.6640625" style="269" customWidth="1"/>
    <col min="4" max="4" width="19.6640625" style="269" customWidth="1"/>
    <col min="5" max="10" width="9.109375" style="269"/>
    <col min="11" max="11" width="54.109375" style="269" customWidth="1"/>
    <col min="12" max="16384" width="9.109375" style="269"/>
  </cols>
  <sheetData>
    <row r="1" spans="1:11" ht="43.2" x14ac:dyDescent="0.3">
      <c r="A1" s="269" t="s">
        <v>784</v>
      </c>
      <c r="B1" s="269" t="s">
        <v>1009</v>
      </c>
      <c r="C1" s="279" t="s">
        <v>974</v>
      </c>
      <c r="D1" s="280" t="s">
        <v>1212</v>
      </c>
      <c r="E1" s="269" t="s">
        <v>1704</v>
      </c>
    </row>
    <row r="3" spans="1:11" ht="23.4" x14ac:dyDescent="0.45">
      <c r="A3" s="269">
        <v>50001</v>
      </c>
      <c r="B3" s="269" t="s">
        <v>1010</v>
      </c>
      <c r="C3" s="269">
        <v>50</v>
      </c>
      <c r="D3" s="169" t="s">
        <v>51</v>
      </c>
      <c r="E3" s="312" t="s">
        <v>1356</v>
      </c>
    </row>
    <row r="4" spans="1:11" x14ac:dyDescent="0.3">
      <c r="A4" s="269">
        <v>50006</v>
      </c>
      <c r="B4" s="269" t="s">
        <v>1011</v>
      </c>
      <c r="C4" s="269">
        <v>50</v>
      </c>
      <c r="D4" s="169" t="s">
        <v>51</v>
      </c>
    </row>
    <row r="5" spans="1:11" x14ac:dyDescent="0.3">
      <c r="A5" s="269">
        <v>50013</v>
      </c>
      <c r="B5" s="269" t="s">
        <v>1013</v>
      </c>
      <c r="C5" s="269">
        <v>50</v>
      </c>
      <c r="D5" s="169" t="s">
        <v>51</v>
      </c>
    </row>
    <row r="6" spans="1:11" x14ac:dyDescent="0.3">
      <c r="A6" s="269">
        <v>50016</v>
      </c>
      <c r="B6" s="994" t="s">
        <v>1705</v>
      </c>
      <c r="C6" s="269">
        <v>50</v>
      </c>
      <c r="D6" s="169" t="s">
        <v>51</v>
      </c>
      <c r="K6" s="994"/>
    </row>
    <row r="7" spans="1:11" x14ac:dyDescent="0.3">
      <c r="A7" s="269">
        <v>50019</v>
      </c>
      <c r="B7" s="994" t="s">
        <v>1706</v>
      </c>
      <c r="C7" s="269">
        <v>50</v>
      </c>
      <c r="D7" s="169" t="s">
        <v>51</v>
      </c>
      <c r="K7" s="994"/>
    </row>
    <row r="8" spans="1:11" x14ac:dyDescent="0.3">
      <c r="A8" s="269">
        <v>50504</v>
      </c>
      <c r="B8" s="269" t="s">
        <v>1014</v>
      </c>
      <c r="C8" s="269">
        <v>50</v>
      </c>
      <c r="D8" s="169" t="s">
        <v>51</v>
      </c>
    </row>
    <row r="9" spans="1:11" x14ac:dyDescent="0.3">
      <c r="A9" s="269">
        <v>50021</v>
      </c>
      <c r="B9" s="994" t="s">
        <v>1707</v>
      </c>
      <c r="C9" s="269">
        <v>50</v>
      </c>
      <c r="D9" s="169" t="s">
        <v>51</v>
      </c>
      <c r="K9" s="994"/>
    </row>
    <row r="10" spans="1:11" x14ac:dyDescent="0.3">
      <c r="A10" s="269">
        <v>50024</v>
      </c>
      <c r="B10" s="269" t="s">
        <v>1015</v>
      </c>
      <c r="C10" s="269">
        <v>50</v>
      </c>
      <c r="D10" s="169" t="s">
        <v>51</v>
      </c>
    </row>
    <row r="11" spans="1:11" x14ac:dyDescent="0.3">
      <c r="A11" s="269">
        <v>50029</v>
      </c>
      <c r="B11" s="269" t="s">
        <v>1016</v>
      </c>
      <c r="C11" s="269">
        <v>50</v>
      </c>
      <c r="D11" s="169" t="s">
        <v>51</v>
      </c>
    </row>
    <row r="12" spans="1:11" x14ac:dyDescent="0.3">
      <c r="A12" s="269">
        <v>50031</v>
      </c>
      <c r="B12" s="994" t="s">
        <v>1708</v>
      </c>
      <c r="C12" s="269">
        <v>50</v>
      </c>
      <c r="D12" s="169" t="s">
        <v>51</v>
      </c>
      <c r="K12" s="994"/>
    </row>
    <row r="13" spans="1:11" x14ac:dyDescent="0.3">
      <c r="A13" s="269">
        <v>50469</v>
      </c>
      <c r="B13" s="269" t="s">
        <v>1017</v>
      </c>
      <c r="C13" s="269">
        <v>50</v>
      </c>
      <c r="D13" s="169" t="s">
        <v>51</v>
      </c>
    </row>
    <row r="14" spans="1:11" x14ac:dyDescent="0.3">
      <c r="A14" s="269">
        <v>50034</v>
      </c>
      <c r="B14" s="269" t="s">
        <v>1019</v>
      </c>
      <c r="C14" s="269">
        <v>50</v>
      </c>
      <c r="D14" s="169" t="s">
        <v>51</v>
      </c>
    </row>
    <row r="15" spans="1:11" x14ac:dyDescent="0.3">
      <c r="A15" s="269">
        <v>50038</v>
      </c>
      <c r="B15" s="269" t="s">
        <v>1020</v>
      </c>
      <c r="C15" s="269">
        <v>50</v>
      </c>
      <c r="D15" s="169" t="s">
        <v>51</v>
      </c>
    </row>
    <row r="16" spans="1:11" x14ac:dyDescent="0.3">
      <c r="A16" s="269">
        <v>50506</v>
      </c>
      <c r="B16" s="269" t="s">
        <v>1021</v>
      </c>
      <c r="C16" s="269">
        <v>50</v>
      </c>
      <c r="D16" s="169" t="s">
        <v>51</v>
      </c>
    </row>
    <row r="17" spans="1:11" x14ac:dyDescent="0.3">
      <c r="A17" s="269">
        <v>50045</v>
      </c>
      <c r="B17" s="269" t="s">
        <v>1022</v>
      </c>
      <c r="C17" s="269">
        <v>50</v>
      </c>
      <c r="D17" s="169" t="s">
        <v>51</v>
      </c>
    </row>
    <row r="18" spans="1:11" x14ac:dyDescent="0.3">
      <c r="A18" s="269">
        <v>50049</v>
      </c>
      <c r="B18" s="269" t="s">
        <v>1023</v>
      </c>
      <c r="C18" s="269">
        <v>50</v>
      </c>
      <c r="D18" s="169" t="s">
        <v>51</v>
      </c>
    </row>
    <row r="19" spans="1:11" x14ac:dyDescent="0.3">
      <c r="A19" s="269">
        <v>50055</v>
      </c>
      <c r="B19" s="994" t="s">
        <v>1709</v>
      </c>
      <c r="C19" s="269">
        <v>50</v>
      </c>
      <c r="D19" s="169" t="s">
        <v>51</v>
      </c>
      <c r="K19" s="994"/>
    </row>
    <row r="20" spans="1:11" x14ac:dyDescent="0.3">
      <c r="A20" s="269">
        <v>50466</v>
      </c>
      <c r="B20" s="269" t="s">
        <v>1710</v>
      </c>
      <c r="C20" s="269">
        <v>50</v>
      </c>
      <c r="D20" s="169" t="s">
        <v>51</v>
      </c>
    </row>
    <row r="21" spans="1:11" x14ac:dyDescent="0.3">
      <c r="A21" s="269">
        <v>50069</v>
      </c>
      <c r="B21" s="269" t="s">
        <v>1024</v>
      </c>
      <c r="C21" s="269">
        <v>50</v>
      </c>
      <c r="D21" s="169" t="s">
        <v>51</v>
      </c>
    </row>
    <row r="22" spans="1:11" x14ac:dyDescent="0.3">
      <c r="A22" s="269">
        <v>50467</v>
      </c>
      <c r="B22" s="269" t="s">
        <v>1025</v>
      </c>
      <c r="C22" s="269">
        <v>50</v>
      </c>
      <c r="D22" s="169" t="s">
        <v>51</v>
      </c>
    </row>
    <row r="23" spans="1:11" x14ac:dyDescent="0.3">
      <c r="A23" s="269">
        <v>50510</v>
      </c>
      <c r="B23" s="269" t="s">
        <v>1026</v>
      </c>
      <c r="C23" s="269">
        <v>50</v>
      </c>
      <c r="D23" s="169" t="s">
        <v>51</v>
      </c>
    </row>
    <row r="24" spans="1:11" x14ac:dyDescent="0.3">
      <c r="A24" s="269">
        <v>50078</v>
      </c>
      <c r="B24" s="269" t="s">
        <v>1711</v>
      </c>
      <c r="C24" s="269">
        <v>50</v>
      </c>
      <c r="D24" s="169" t="s">
        <v>51</v>
      </c>
    </row>
    <row r="25" spans="1:11" x14ac:dyDescent="0.3">
      <c r="A25" s="269">
        <v>50080</v>
      </c>
      <c r="B25" s="269" t="s">
        <v>1712</v>
      </c>
      <c r="C25" s="269">
        <v>50</v>
      </c>
      <c r="D25" s="169" t="s">
        <v>51</v>
      </c>
    </row>
    <row r="26" spans="1:11" x14ac:dyDescent="0.3">
      <c r="A26" s="269">
        <v>50468</v>
      </c>
      <c r="B26" s="994" t="s">
        <v>1713</v>
      </c>
      <c r="C26" s="269">
        <v>50</v>
      </c>
      <c r="D26" s="169" t="s">
        <v>51</v>
      </c>
      <c r="K26" s="994"/>
    </row>
    <row r="27" spans="1:11" x14ac:dyDescent="0.3">
      <c r="A27" s="269">
        <v>50086</v>
      </c>
      <c r="B27" s="269" t="s">
        <v>1028</v>
      </c>
      <c r="C27" s="269">
        <v>50</v>
      </c>
      <c r="D27" s="169" t="s">
        <v>51</v>
      </c>
    </row>
    <row r="28" spans="1:11" x14ac:dyDescent="0.3">
      <c r="A28" s="269">
        <v>50087</v>
      </c>
      <c r="B28" s="269" t="s">
        <v>1029</v>
      </c>
      <c r="C28" s="269">
        <v>50</v>
      </c>
      <c r="D28" s="169" t="s">
        <v>51</v>
      </c>
    </row>
    <row r="29" spans="1:11" x14ac:dyDescent="0.3">
      <c r="A29" s="269">
        <v>50091</v>
      </c>
      <c r="B29" s="994" t="s">
        <v>1714</v>
      </c>
      <c r="C29" s="269">
        <v>50</v>
      </c>
      <c r="D29" s="169" t="s">
        <v>51</v>
      </c>
      <c r="K29" s="994"/>
    </row>
    <row r="30" spans="1:11" x14ac:dyDescent="0.3">
      <c r="A30" s="269">
        <v>50098</v>
      </c>
      <c r="B30" s="269" t="s">
        <v>1715</v>
      </c>
      <c r="C30" s="269">
        <v>50</v>
      </c>
      <c r="D30" s="169" t="s">
        <v>51</v>
      </c>
    </row>
    <row r="31" spans="1:11" x14ac:dyDescent="0.3">
      <c r="A31" s="269">
        <v>50100</v>
      </c>
      <c r="B31" s="269" t="s">
        <v>1716</v>
      </c>
      <c r="C31" s="269">
        <v>50</v>
      </c>
      <c r="D31" s="169" t="s">
        <v>51</v>
      </c>
    </row>
    <row r="32" spans="1:11" x14ac:dyDescent="0.3">
      <c r="A32" s="269">
        <v>50513</v>
      </c>
      <c r="B32" s="269" t="s">
        <v>1030</v>
      </c>
      <c r="C32" s="269">
        <v>50</v>
      </c>
      <c r="D32" s="169" t="s">
        <v>51</v>
      </c>
    </row>
    <row r="33" spans="1:11" x14ac:dyDescent="0.3">
      <c r="A33" s="269">
        <v>50106</v>
      </c>
      <c r="B33" s="269" t="s">
        <v>1031</v>
      </c>
      <c r="C33" s="269">
        <v>50</v>
      </c>
      <c r="D33" s="169" t="s">
        <v>51</v>
      </c>
    </row>
    <row r="34" spans="1:11" x14ac:dyDescent="0.3">
      <c r="A34" s="269">
        <v>50472</v>
      </c>
      <c r="B34" s="269" t="s">
        <v>1032</v>
      </c>
      <c r="C34" s="269">
        <v>50</v>
      </c>
      <c r="D34" s="169" t="s">
        <v>51</v>
      </c>
    </row>
    <row r="35" spans="1:11" x14ac:dyDescent="0.3">
      <c r="A35" s="269">
        <v>50112</v>
      </c>
      <c r="B35" s="269" t="s">
        <v>1033</v>
      </c>
      <c r="C35" s="269">
        <v>50</v>
      </c>
      <c r="D35" s="169" t="s">
        <v>51</v>
      </c>
    </row>
    <row r="36" spans="1:11" x14ac:dyDescent="0.3">
      <c r="A36" s="269">
        <v>50113</v>
      </c>
      <c r="B36" s="269" t="s">
        <v>1034</v>
      </c>
      <c r="C36" s="269">
        <v>50</v>
      </c>
      <c r="D36" s="169" t="s">
        <v>51</v>
      </c>
    </row>
    <row r="37" spans="1:11" x14ac:dyDescent="0.3">
      <c r="A37" s="269">
        <v>50116</v>
      </c>
      <c r="B37" s="994" t="s">
        <v>1717</v>
      </c>
      <c r="C37" s="269">
        <v>50</v>
      </c>
      <c r="D37" s="169" t="s">
        <v>51</v>
      </c>
      <c r="K37" s="994"/>
    </row>
    <row r="38" spans="1:11" x14ac:dyDescent="0.3">
      <c r="A38" s="269">
        <v>50121</v>
      </c>
      <c r="B38" s="269" t="s">
        <v>1036</v>
      </c>
      <c r="C38" s="269">
        <v>50</v>
      </c>
      <c r="D38" s="169" t="s">
        <v>51</v>
      </c>
    </row>
    <row r="39" spans="1:11" x14ac:dyDescent="0.3">
      <c r="A39" s="269">
        <v>50122</v>
      </c>
      <c r="B39" s="269" t="s">
        <v>1037</v>
      </c>
      <c r="C39" s="269">
        <v>50</v>
      </c>
      <c r="D39" s="169" t="s">
        <v>51</v>
      </c>
    </row>
    <row r="40" spans="1:11" x14ac:dyDescent="0.3">
      <c r="A40" s="269">
        <v>50125</v>
      </c>
      <c r="B40" s="269" t="s">
        <v>1038</v>
      </c>
      <c r="C40" s="269">
        <v>50</v>
      </c>
      <c r="D40" s="169" t="s">
        <v>51</v>
      </c>
    </row>
    <row r="41" spans="1:11" x14ac:dyDescent="0.3">
      <c r="A41" s="269">
        <v>50126</v>
      </c>
      <c r="B41" s="994" t="s">
        <v>1718</v>
      </c>
      <c r="C41" s="269">
        <v>50</v>
      </c>
      <c r="D41" s="169" t="s">
        <v>51</v>
      </c>
      <c r="K41" s="994"/>
    </row>
    <row r="42" spans="1:11" x14ac:dyDescent="0.3">
      <c r="A42" s="269">
        <v>50127</v>
      </c>
      <c r="B42" s="269" t="s">
        <v>1719</v>
      </c>
      <c r="C42" s="269">
        <v>50</v>
      </c>
      <c r="D42" s="169" t="s">
        <v>51</v>
      </c>
    </row>
    <row r="43" spans="1:11" x14ac:dyDescent="0.3">
      <c r="A43" s="269">
        <v>50128</v>
      </c>
      <c r="B43" s="269" t="s">
        <v>1040</v>
      </c>
      <c r="C43" s="269">
        <v>50</v>
      </c>
      <c r="D43" s="169" t="s">
        <v>51</v>
      </c>
    </row>
    <row r="44" spans="1:11" x14ac:dyDescent="0.3">
      <c r="A44" s="269">
        <v>50129</v>
      </c>
      <c r="B44" s="269" t="s">
        <v>1041</v>
      </c>
      <c r="C44" s="269">
        <v>50</v>
      </c>
      <c r="D44" s="169" t="s">
        <v>51</v>
      </c>
    </row>
    <row r="45" spans="1:11" x14ac:dyDescent="0.3">
      <c r="A45" s="269">
        <v>50130</v>
      </c>
      <c r="B45" s="269" t="s">
        <v>1042</v>
      </c>
      <c r="C45" s="269">
        <v>50</v>
      </c>
      <c r="D45" s="169" t="s">
        <v>51</v>
      </c>
    </row>
    <row r="46" spans="1:11" x14ac:dyDescent="0.3">
      <c r="A46" s="269">
        <v>50570</v>
      </c>
      <c r="B46" s="269" t="s">
        <v>1043</v>
      </c>
      <c r="C46" s="269">
        <v>50</v>
      </c>
      <c r="D46" s="169" t="s">
        <v>51</v>
      </c>
    </row>
    <row r="47" spans="1:11" x14ac:dyDescent="0.3">
      <c r="A47" s="269">
        <v>50139</v>
      </c>
      <c r="B47" s="269" t="s">
        <v>1045</v>
      </c>
      <c r="C47" s="269">
        <v>50</v>
      </c>
      <c r="D47" s="169" t="s">
        <v>51</v>
      </c>
    </row>
    <row r="48" spans="1:11" x14ac:dyDescent="0.3">
      <c r="A48" s="269">
        <v>50142</v>
      </c>
      <c r="B48" s="269" t="s">
        <v>1046</v>
      </c>
      <c r="C48" s="269">
        <v>50</v>
      </c>
      <c r="D48" s="169" t="s">
        <v>51</v>
      </c>
    </row>
    <row r="49" spans="1:11" x14ac:dyDescent="0.3">
      <c r="A49" s="269">
        <v>50143</v>
      </c>
      <c r="B49" s="269" t="s">
        <v>1047</v>
      </c>
      <c r="C49" s="269">
        <v>50</v>
      </c>
      <c r="D49" s="169" t="s">
        <v>51</v>
      </c>
    </row>
    <row r="50" spans="1:11" x14ac:dyDescent="0.3">
      <c r="A50" s="269">
        <v>50148</v>
      </c>
      <c r="B50" s="269" t="s">
        <v>764</v>
      </c>
      <c r="C50" s="269">
        <v>50</v>
      </c>
      <c r="D50" s="169" t="s">
        <v>51</v>
      </c>
    </row>
    <row r="51" spans="1:11" x14ac:dyDescent="0.3">
      <c r="A51" s="269">
        <v>50151</v>
      </c>
      <c r="B51" s="269" t="s">
        <v>1720</v>
      </c>
      <c r="C51" s="269">
        <v>50</v>
      </c>
      <c r="D51" s="169" t="s">
        <v>51</v>
      </c>
    </row>
    <row r="52" spans="1:11" x14ac:dyDescent="0.3">
      <c r="A52" s="269">
        <v>50153</v>
      </c>
      <c r="B52" s="269" t="s">
        <v>1048</v>
      </c>
      <c r="C52" s="269">
        <v>50</v>
      </c>
      <c r="D52" s="169" t="s">
        <v>51</v>
      </c>
    </row>
    <row r="53" spans="1:11" x14ac:dyDescent="0.3">
      <c r="A53" s="269">
        <v>50154</v>
      </c>
      <c r="B53" s="269" t="s">
        <v>1049</v>
      </c>
      <c r="C53" s="269">
        <v>50</v>
      </c>
      <c r="D53" s="169" t="s">
        <v>51</v>
      </c>
    </row>
    <row r="54" spans="1:11" x14ac:dyDescent="0.3">
      <c r="A54" s="269">
        <v>50517</v>
      </c>
      <c r="B54" s="994" t="s">
        <v>1721</v>
      </c>
      <c r="C54" s="269">
        <v>50</v>
      </c>
      <c r="D54" s="169" t="s">
        <v>51</v>
      </c>
      <c r="K54" s="994"/>
    </row>
    <row r="55" spans="1:11" x14ac:dyDescent="0.3">
      <c r="A55" s="269">
        <v>50448</v>
      </c>
      <c r="B55" s="269" t="s">
        <v>1050</v>
      </c>
      <c r="C55" s="269">
        <v>50</v>
      </c>
      <c r="D55" s="169" t="s">
        <v>51</v>
      </c>
    </row>
    <row r="56" spans="1:11" x14ac:dyDescent="0.3">
      <c r="A56" s="269">
        <v>50163</v>
      </c>
      <c r="B56" s="269" t="s">
        <v>1051</v>
      </c>
      <c r="C56" s="269">
        <v>50</v>
      </c>
      <c r="D56" s="169" t="s">
        <v>51</v>
      </c>
    </row>
    <row r="57" spans="1:11" x14ac:dyDescent="0.3">
      <c r="A57" s="269">
        <v>50165</v>
      </c>
      <c r="B57" s="269" t="s">
        <v>1052</v>
      </c>
      <c r="C57" s="269">
        <v>50</v>
      </c>
      <c r="D57" s="169" t="s">
        <v>51</v>
      </c>
    </row>
    <row r="58" spans="1:11" x14ac:dyDescent="0.3">
      <c r="A58" s="269">
        <v>50166</v>
      </c>
      <c r="B58" s="269" t="s">
        <v>1053</v>
      </c>
      <c r="C58" s="269">
        <v>50</v>
      </c>
      <c r="D58" s="169" t="s">
        <v>51</v>
      </c>
    </row>
    <row r="59" spans="1:11" x14ac:dyDescent="0.3">
      <c r="A59" s="269">
        <v>50167</v>
      </c>
      <c r="B59" s="269" t="s">
        <v>1054</v>
      </c>
      <c r="C59" s="269">
        <v>50</v>
      </c>
      <c r="D59" s="169" t="s">
        <v>51</v>
      </c>
    </row>
    <row r="60" spans="1:11" x14ac:dyDescent="0.3">
      <c r="A60" s="269">
        <v>50171</v>
      </c>
      <c r="B60" s="994" t="s">
        <v>1722</v>
      </c>
      <c r="C60" s="269">
        <v>50</v>
      </c>
      <c r="D60" s="169" t="s">
        <v>51</v>
      </c>
      <c r="K60" s="994"/>
    </row>
    <row r="61" spans="1:11" x14ac:dyDescent="0.3">
      <c r="A61" s="269">
        <v>50440</v>
      </c>
      <c r="B61" s="269" t="s">
        <v>1723</v>
      </c>
      <c r="C61" s="269">
        <v>50</v>
      </c>
      <c r="D61" s="169" t="s">
        <v>51</v>
      </c>
    </row>
    <row r="62" spans="1:11" x14ac:dyDescent="0.3">
      <c r="A62" s="269">
        <v>50175</v>
      </c>
      <c r="B62" s="994" t="s">
        <v>765</v>
      </c>
      <c r="C62" s="269">
        <v>50</v>
      </c>
      <c r="D62" s="169" t="s">
        <v>51</v>
      </c>
      <c r="K62" s="994"/>
    </row>
    <row r="63" spans="1:11" x14ac:dyDescent="0.3">
      <c r="A63" s="269">
        <v>50177</v>
      </c>
      <c r="B63" s="994" t="s">
        <v>1724</v>
      </c>
      <c r="C63" s="269">
        <v>50</v>
      </c>
      <c r="D63" s="169" t="s">
        <v>51</v>
      </c>
      <c r="K63" s="994"/>
    </row>
    <row r="64" spans="1:11" x14ac:dyDescent="0.3">
      <c r="A64" s="269">
        <v>50183</v>
      </c>
      <c r="B64" s="269" t="s">
        <v>1055</v>
      </c>
      <c r="C64" s="269">
        <v>50</v>
      </c>
      <c r="D64" s="169" t="s">
        <v>51</v>
      </c>
    </row>
    <row r="65" spans="1:11" x14ac:dyDescent="0.3">
      <c r="A65" s="269">
        <v>50184</v>
      </c>
      <c r="B65" s="269" t="s">
        <v>1056</v>
      </c>
      <c r="C65" s="269">
        <v>50</v>
      </c>
      <c r="D65" s="169" t="s">
        <v>51</v>
      </c>
    </row>
    <row r="66" spans="1:11" x14ac:dyDescent="0.3">
      <c r="A66" s="269">
        <v>50186</v>
      </c>
      <c r="B66" s="269" t="s">
        <v>1057</v>
      </c>
      <c r="C66" s="269">
        <v>50</v>
      </c>
      <c r="D66" s="169" t="s">
        <v>51</v>
      </c>
    </row>
    <row r="67" spans="1:11" x14ac:dyDescent="0.3">
      <c r="A67" s="269">
        <v>50476</v>
      </c>
      <c r="B67" s="269" t="s">
        <v>843</v>
      </c>
      <c r="C67" s="269">
        <v>50</v>
      </c>
      <c r="D67" s="169" t="s">
        <v>51</v>
      </c>
    </row>
    <row r="68" spans="1:11" x14ac:dyDescent="0.3">
      <c r="A68" s="269">
        <v>50192</v>
      </c>
      <c r="B68" s="269" t="s">
        <v>845</v>
      </c>
      <c r="C68" s="269">
        <v>50</v>
      </c>
      <c r="D68" s="169" t="s">
        <v>51</v>
      </c>
    </row>
    <row r="69" spans="1:11" x14ac:dyDescent="0.3">
      <c r="A69" s="269">
        <v>50518</v>
      </c>
      <c r="B69" s="269" t="s">
        <v>859</v>
      </c>
      <c r="C69" s="269">
        <v>50</v>
      </c>
      <c r="D69" s="169" t="s">
        <v>51</v>
      </c>
    </row>
    <row r="70" spans="1:11" x14ac:dyDescent="0.3">
      <c r="A70" s="269">
        <v>50231</v>
      </c>
      <c r="B70" s="269" t="s">
        <v>892</v>
      </c>
      <c r="C70" s="269">
        <v>50</v>
      </c>
      <c r="D70" s="169" t="s">
        <v>51</v>
      </c>
    </row>
    <row r="71" spans="1:11" x14ac:dyDescent="0.3">
      <c r="A71" s="269">
        <v>50235</v>
      </c>
      <c r="B71" s="269" t="s">
        <v>896</v>
      </c>
      <c r="C71" s="269">
        <v>50</v>
      </c>
      <c r="D71" s="169" t="s">
        <v>51</v>
      </c>
    </row>
    <row r="72" spans="1:11" x14ac:dyDescent="0.3">
      <c r="A72" s="269">
        <v>50233</v>
      </c>
      <c r="B72" s="269" t="s">
        <v>894</v>
      </c>
      <c r="C72" s="269">
        <v>50</v>
      </c>
      <c r="D72" s="169" t="s">
        <v>51</v>
      </c>
    </row>
    <row r="73" spans="1:11" x14ac:dyDescent="0.3">
      <c r="A73" s="269">
        <v>50236</v>
      </c>
      <c r="B73" s="269" t="s">
        <v>897</v>
      </c>
      <c r="C73" s="269">
        <v>50</v>
      </c>
      <c r="D73" s="169" t="s">
        <v>51</v>
      </c>
    </row>
    <row r="74" spans="1:11" x14ac:dyDescent="0.3">
      <c r="A74" s="269">
        <v>50239</v>
      </c>
      <c r="B74" s="269" t="s">
        <v>900</v>
      </c>
      <c r="C74" s="269">
        <v>50</v>
      </c>
      <c r="D74" s="169" t="s">
        <v>51</v>
      </c>
    </row>
    <row r="75" spans="1:11" x14ac:dyDescent="0.3">
      <c r="A75" s="269">
        <v>50249</v>
      </c>
      <c r="B75" s="269" t="s">
        <v>912</v>
      </c>
      <c r="C75" s="269">
        <v>50</v>
      </c>
      <c r="D75" s="169" t="s">
        <v>51</v>
      </c>
    </row>
    <row r="76" spans="1:11" x14ac:dyDescent="0.3">
      <c r="A76" s="269">
        <v>50254</v>
      </c>
      <c r="B76" s="269" t="s">
        <v>1725</v>
      </c>
      <c r="C76" s="269">
        <v>50</v>
      </c>
      <c r="D76" s="169" t="s">
        <v>51</v>
      </c>
    </row>
    <row r="77" spans="1:11" x14ac:dyDescent="0.3">
      <c r="A77" s="269">
        <v>50255</v>
      </c>
      <c r="B77" s="994" t="s">
        <v>1726</v>
      </c>
      <c r="C77" s="269">
        <v>50</v>
      </c>
      <c r="D77" s="169" t="s">
        <v>51</v>
      </c>
      <c r="K77" s="994"/>
    </row>
    <row r="78" spans="1:11" x14ac:dyDescent="0.3">
      <c r="A78" s="269">
        <v>50257</v>
      </c>
      <c r="B78" s="269" t="s">
        <v>1060</v>
      </c>
      <c r="C78" s="269">
        <v>50</v>
      </c>
      <c r="D78" s="169" t="s">
        <v>51</v>
      </c>
    </row>
    <row r="79" spans="1:11" x14ac:dyDescent="0.3">
      <c r="A79" s="269">
        <v>50452</v>
      </c>
      <c r="B79" s="994" t="s">
        <v>1727</v>
      </c>
      <c r="C79" s="269">
        <v>50</v>
      </c>
      <c r="D79" s="169" t="s">
        <v>51</v>
      </c>
      <c r="K79" s="994"/>
    </row>
    <row r="80" spans="1:11" x14ac:dyDescent="0.3">
      <c r="A80" s="269">
        <v>50260</v>
      </c>
      <c r="B80" s="269" t="s">
        <v>1061</v>
      </c>
      <c r="C80" s="269">
        <v>50</v>
      </c>
      <c r="D80" s="169" t="s">
        <v>51</v>
      </c>
    </row>
    <row r="81" spans="1:11" x14ac:dyDescent="0.3">
      <c r="A81" s="269">
        <v>50268</v>
      </c>
      <c r="B81" s="994" t="s">
        <v>1728</v>
      </c>
      <c r="C81" s="269">
        <v>50</v>
      </c>
      <c r="D81" s="169" t="s">
        <v>51</v>
      </c>
      <c r="K81" s="994"/>
    </row>
    <row r="82" spans="1:11" x14ac:dyDescent="0.3">
      <c r="A82" s="269">
        <v>50269</v>
      </c>
      <c r="B82" s="269" t="s">
        <v>1062</v>
      </c>
      <c r="C82" s="269">
        <v>50</v>
      </c>
      <c r="D82" s="169" t="s">
        <v>51</v>
      </c>
    </row>
    <row r="83" spans="1:11" x14ac:dyDescent="0.3">
      <c r="A83" s="269">
        <v>50480</v>
      </c>
      <c r="B83" s="269" t="s">
        <v>1063</v>
      </c>
      <c r="C83" s="269">
        <v>50</v>
      </c>
      <c r="D83" s="169" t="s">
        <v>51</v>
      </c>
    </row>
    <row r="84" spans="1:11" x14ac:dyDescent="0.3">
      <c r="A84" s="269">
        <v>50278</v>
      </c>
      <c r="B84" s="269" t="s">
        <v>1064</v>
      </c>
      <c r="C84" s="269">
        <v>50</v>
      </c>
      <c r="D84" s="169" t="s">
        <v>51</v>
      </c>
    </row>
    <row r="85" spans="1:11" x14ac:dyDescent="0.3">
      <c r="A85" s="269">
        <v>50280</v>
      </c>
      <c r="B85" s="269" t="s">
        <v>1065</v>
      </c>
      <c r="C85" s="269">
        <v>50</v>
      </c>
      <c r="D85" s="169" t="s">
        <v>51</v>
      </c>
    </row>
    <row r="86" spans="1:11" x14ac:dyDescent="0.3">
      <c r="A86" s="269">
        <v>50281</v>
      </c>
      <c r="B86" s="269" t="s">
        <v>1066</v>
      </c>
      <c r="C86" s="269">
        <v>50</v>
      </c>
      <c r="D86" s="169" t="s">
        <v>51</v>
      </c>
    </row>
    <row r="87" spans="1:11" x14ac:dyDescent="0.3">
      <c r="A87" s="269">
        <v>50478</v>
      </c>
      <c r="B87" s="269" t="s">
        <v>1067</v>
      </c>
      <c r="C87" s="269">
        <v>50</v>
      </c>
      <c r="D87" s="169" t="s">
        <v>51</v>
      </c>
    </row>
    <row r="88" spans="1:11" x14ac:dyDescent="0.3">
      <c r="A88" s="269">
        <v>50283</v>
      </c>
      <c r="B88" s="269" t="s">
        <v>1069</v>
      </c>
      <c r="C88" s="269">
        <v>50</v>
      </c>
      <c r="D88" s="169" t="s">
        <v>51</v>
      </c>
    </row>
    <row r="89" spans="1:11" x14ac:dyDescent="0.3">
      <c r="A89" s="269">
        <v>50285</v>
      </c>
      <c r="B89" s="269" t="s">
        <v>1070</v>
      </c>
      <c r="C89" s="269">
        <v>50</v>
      </c>
      <c r="D89" s="169" t="s">
        <v>51</v>
      </c>
    </row>
    <row r="90" spans="1:11" x14ac:dyDescent="0.3">
      <c r="A90" s="269">
        <v>50296</v>
      </c>
      <c r="B90" s="269" t="s">
        <v>1073</v>
      </c>
      <c r="C90" s="269">
        <v>50</v>
      </c>
      <c r="D90" s="169" t="s">
        <v>51</v>
      </c>
    </row>
    <row r="91" spans="1:11" x14ac:dyDescent="0.3">
      <c r="A91" s="269">
        <v>50297</v>
      </c>
      <c r="B91" s="269" t="s">
        <v>1074</v>
      </c>
      <c r="C91" s="269">
        <v>50</v>
      </c>
      <c r="D91" s="169" t="s">
        <v>51</v>
      </c>
    </row>
    <row r="92" spans="1:11" x14ac:dyDescent="0.3">
      <c r="A92" s="269">
        <v>50305</v>
      </c>
      <c r="B92" s="994" t="s">
        <v>1729</v>
      </c>
      <c r="C92" s="269">
        <v>50</v>
      </c>
      <c r="D92" s="169" t="s">
        <v>51</v>
      </c>
      <c r="K92" s="994"/>
    </row>
    <row r="93" spans="1:11" x14ac:dyDescent="0.3">
      <c r="A93" s="269">
        <v>50479</v>
      </c>
      <c r="B93" s="269" t="s">
        <v>1075</v>
      </c>
      <c r="C93" s="269">
        <v>50</v>
      </c>
      <c r="D93" s="169" t="s">
        <v>51</v>
      </c>
    </row>
    <row r="94" spans="1:11" x14ac:dyDescent="0.3">
      <c r="A94" s="269">
        <v>50307</v>
      </c>
      <c r="B94" s="269" t="s">
        <v>1076</v>
      </c>
      <c r="C94" s="269">
        <v>50</v>
      </c>
      <c r="D94" s="169" t="s">
        <v>51</v>
      </c>
    </row>
    <row r="95" spans="1:11" x14ac:dyDescent="0.3">
      <c r="A95" s="269">
        <v>50310</v>
      </c>
      <c r="B95" s="269" t="s">
        <v>1077</v>
      </c>
      <c r="C95" s="269">
        <v>50</v>
      </c>
      <c r="D95" s="169" t="s">
        <v>51</v>
      </c>
    </row>
    <row r="96" spans="1:11" x14ac:dyDescent="0.3">
      <c r="A96" s="269">
        <v>50311</v>
      </c>
      <c r="B96" s="269" t="s">
        <v>1078</v>
      </c>
      <c r="C96" s="269">
        <v>50</v>
      </c>
      <c r="D96" s="169" t="s">
        <v>51</v>
      </c>
    </row>
    <row r="97" spans="1:11" x14ac:dyDescent="0.3">
      <c r="A97" s="269">
        <v>50314</v>
      </c>
      <c r="B97" s="269" t="s">
        <v>1079</v>
      </c>
      <c r="C97" s="269">
        <v>50</v>
      </c>
      <c r="D97" s="169" t="s">
        <v>51</v>
      </c>
    </row>
    <row r="98" spans="1:11" x14ac:dyDescent="0.3">
      <c r="A98" s="269">
        <v>50316</v>
      </c>
      <c r="B98" s="269" t="s">
        <v>1080</v>
      </c>
      <c r="C98" s="269">
        <v>50</v>
      </c>
      <c r="D98" s="169" t="s">
        <v>51</v>
      </c>
    </row>
    <row r="99" spans="1:11" x14ac:dyDescent="0.3">
      <c r="A99" s="269">
        <v>50318</v>
      </c>
      <c r="B99" s="269" t="s">
        <v>1081</v>
      </c>
      <c r="C99" s="269">
        <v>50</v>
      </c>
      <c r="D99" s="169" t="s">
        <v>51</v>
      </c>
    </row>
    <row r="100" spans="1:11" x14ac:dyDescent="0.3">
      <c r="A100" s="269">
        <v>50323</v>
      </c>
      <c r="B100" s="269" t="s">
        <v>1082</v>
      </c>
      <c r="C100" s="269">
        <v>50</v>
      </c>
      <c r="D100" s="169" t="s">
        <v>51</v>
      </c>
    </row>
    <row r="101" spans="1:11" x14ac:dyDescent="0.3">
      <c r="A101" s="269">
        <v>50321</v>
      </c>
      <c r="B101" s="269" t="s">
        <v>1730</v>
      </c>
      <c r="C101" s="269">
        <v>50</v>
      </c>
      <c r="D101" s="169" t="s">
        <v>51</v>
      </c>
    </row>
    <row r="102" spans="1:11" x14ac:dyDescent="0.3">
      <c r="A102" s="269">
        <v>50325</v>
      </c>
      <c r="B102" s="269" t="s">
        <v>1083</v>
      </c>
      <c r="C102" s="269">
        <v>50</v>
      </c>
      <c r="D102" s="169" t="s">
        <v>51</v>
      </c>
    </row>
    <row r="103" spans="1:11" x14ac:dyDescent="0.3">
      <c r="A103" s="269">
        <v>50327</v>
      </c>
      <c r="B103" s="269" t="s">
        <v>1084</v>
      </c>
      <c r="C103" s="269">
        <v>50</v>
      </c>
      <c r="D103" s="169" t="s">
        <v>51</v>
      </c>
    </row>
    <row r="104" spans="1:11" x14ac:dyDescent="0.3">
      <c r="A104" s="269">
        <v>50328</v>
      </c>
      <c r="B104" s="269" t="s">
        <v>771</v>
      </c>
      <c r="C104" s="269">
        <v>50</v>
      </c>
      <c r="D104" s="169" t="s">
        <v>51</v>
      </c>
    </row>
    <row r="105" spans="1:11" x14ac:dyDescent="0.3">
      <c r="A105" s="269">
        <v>50332</v>
      </c>
      <c r="B105" s="269" t="s">
        <v>1085</v>
      </c>
      <c r="C105" s="269">
        <v>50</v>
      </c>
      <c r="D105" s="169" t="s">
        <v>51</v>
      </c>
    </row>
    <row r="106" spans="1:11" x14ac:dyDescent="0.3">
      <c r="A106" s="269">
        <v>50334</v>
      </c>
      <c r="B106" s="994" t="s">
        <v>1731</v>
      </c>
      <c r="C106" s="269">
        <v>50</v>
      </c>
      <c r="D106" s="169" t="s">
        <v>51</v>
      </c>
      <c r="K106" s="994"/>
    </row>
    <row r="107" spans="1:11" x14ac:dyDescent="0.3">
      <c r="A107" s="269">
        <v>50336</v>
      </c>
      <c r="B107" s="269" t="s">
        <v>1732</v>
      </c>
      <c r="C107" s="269">
        <v>50</v>
      </c>
      <c r="D107" s="169" t="s">
        <v>51</v>
      </c>
    </row>
    <row r="108" spans="1:11" x14ac:dyDescent="0.3">
      <c r="A108" s="269">
        <v>50337</v>
      </c>
      <c r="B108" s="994" t="s">
        <v>1733</v>
      </c>
      <c r="C108" s="269">
        <v>50</v>
      </c>
      <c r="D108" s="169" t="s">
        <v>51</v>
      </c>
      <c r="K108" s="994"/>
    </row>
    <row r="109" spans="1:11" x14ac:dyDescent="0.3">
      <c r="A109" s="269">
        <v>50338</v>
      </c>
      <c r="B109" s="994" t="s">
        <v>1734</v>
      </c>
      <c r="C109" s="269">
        <v>50</v>
      </c>
      <c r="D109" s="169" t="s">
        <v>51</v>
      </c>
      <c r="K109" s="994"/>
    </row>
    <row r="110" spans="1:11" x14ac:dyDescent="0.3">
      <c r="A110" s="269">
        <v>50340</v>
      </c>
      <c r="B110" s="269" t="s">
        <v>1735</v>
      </c>
      <c r="C110" s="269">
        <v>50</v>
      </c>
      <c r="D110" s="169" t="s">
        <v>51</v>
      </c>
    </row>
    <row r="111" spans="1:11" x14ac:dyDescent="0.3">
      <c r="A111" s="269">
        <v>50343</v>
      </c>
      <c r="B111" s="269" t="s">
        <v>1086</v>
      </c>
      <c r="C111" s="269">
        <v>50</v>
      </c>
      <c r="D111" s="169" t="s">
        <v>51</v>
      </c>
    </row>
    <row r="112" spans="1:11" x14ac:dyDescent="0.3">
      <c r="A112" s="269">
        <v>50348</v>
      </c>
      <c r="B112" s="269" t="s">
        <v>1088</v>
      </c>
      <c r="C112" s="269">
        <v>50</v>
      </c>
      <c r="D112" s="169" t="s">
        <v>51</v>
      </c>
    </row>
    <row r="113" spans="1:11" x14ac:dyDescent="0.3">
      <c r="A113" s="269">
        <v>50541</v>
      </c>
      <c r="B113" s="269" t="s">
        <v>1089</v>
      </c>
      <c r="C113" s="269">
        <v>50</v>
      </c>
      <c r="D113" s="169" t="s">
        <v>51</v>
      </c>
    </row>
    <row r="114" spans="1:11" x14ac:dyDescent="0.3">
      <c r="A114" s="269">
        <v>50355</v>
      </c>
      <c r="B114" s="269" t="s">
        <v>1090</v>
      </c>
      <c r="C114" s="269">
        <v>50</v>
      </c>
      <c r="D114" s="169" t="s">
        <v>51</v>
      </c>
    </row>
    <row r="115" spans="1:11" x14ac:dyDescent="0.3">
      <c r="A115" s="269">
        <v>50357</v>
      </c>
      <c r="B115" s="994" t="s">
        <v>1736</v>
      </c>
      <c r="C115" s="269">
        <v>50</v>
      </c>
      <c r="D115" s="169" t="s">
        <v>51</v>
      </c>
      <c r="K115" s="994"/>
    </row>
    <row r="116" spans="1:11" x14ac:dyDescent="0.3">
      <c r="A116" s="269">
        <v>50360</v>
      </c>
      <c r="B116" s="269" t="s">
        <v>1091</v>
      </c>
      <c r="C116" s="269">
        <v>50</v>
      </c>
      <c r="D116" s="169" t="s">
        <v>51</v>
      </c>
    </row>
    <row r="117" spans="1:11" x14ac:dyDescent="0.3">
      <c r="A117" s="269">
        <v>50370</v>
      </c>
      <c r="B117" s="269" t="s">
        <v>1092</v>
      </c>
      <c r="C117" s="269">
        <v>50</v>
      </c>
      <c r="D117" s="169" t="s">
        <v>51</v>
      </c>
    </row>
    <row r="118" spans="1:11" x14ac:dyDescent="0.3">
      <c r="A118" s="269">
        <v>50374</v>
      </c>
      <c r="B118" s="269" t="s">
        <v>1737</v>
      </c>
      <c r="C118" s="269">
        <v>50</v>
      </c>
      <c r="D118" s="169" t="s">
        <v>51</v>
      </c>
    </row>
    <row r="119" spans="1:11" x14ac:dyDescent="0.3">
      <c r="A119" s="269">
        <v>50483</v>
      </c>
      <c r="B119" s="269" t="s">
        <v>1738</v>
      </c>
      <c r="C119" s="269">
        <v>50</v>
      </c>
      <c r="D119" s="169" t="s">
        <v>51</v>
      </c>
    </row>
    <row r="120" spans="1:11" x14ac:dyDescent="0.3">
      <c r="A120" s="269">
        <v>50386</v>
      </c>
      <c r="B120" s="269" t="s">
        <v>1739</v>
      </c>
      <c r="C120" s="269">
        <v>50</v>
      </c>
      <c r="D120" s="169" t="s">
        <v>51</v>
      </c>
    </row>
    <row r="121" spans="1:11" x14ac:dyDescent="0.3">
      <c r="A121" s="269">
        <v>50389</v>
      </c>
      <c r="B121" s="269" t="s">
        <v>1094</v>
      </c>
      <c r="C121" s="269">
        <v>50</v>
      </c>
      <c r="D121" s="169" t="s">
        <v>51</v>
      </c>
    </row>
    <row r="122" spans="1:11" x14ac:dyDescent="0.3">
      <c r="A122" s="269">
        <v>50500</v>
      </c>
      <c r="B122" s="269" t="s">
        <v>1095</v>
      </c>
      <c r="C122" s="269">
        <v>50</v>
      </c>
      <c r="D122" s="169" t="s">
        <v>51</v>
      </c>
    </row>
    <row r="123" spans="1:11" x14ac:dyDescent="0.3">
      <c r="A123" s="269">
        <v>50390</v>
      </c>
      <c r="B123" s="994" t="s">
        <v>1740</v>
      </c>
      <c r="C123" s="269">
        <v>50</v>
      </c>
      <c r="D123" s="169" t="s">
        <v>51</v>
      </c>
      <c r="K123" s="994"/>
    </row>
    <row r="124" spans="1:11" x14ac:dyDescent="0.3">
      <c r="A124" s="269">
        <v>50396</v>
      </c>
      <c r="B124" s="269" t="s">
        <v>1096</v>
      </c>
      <c r="C124" s="269">
        <v>50</v>
      </c>
      <c r="D124" s="169" t="s">
        <v>51</v>
      </c>
    </row>
    <row r="125" spans="1:11" x14ac:dyDescent="0.3">
      <c r="A125" s="269">
        <v>50399</v>
      </c>
      <c r="B125" s="269" t="s">
        <v>1098</v>
      </c>
      <c r="C125" s="269">
        <v>50</v>
      </c>
      <c r="D125" s="169" t="s">
        <v>51</v>
      </c>
    </row>
    <row r="126" spans="1:11" x14ac:dyDescent="0.3">
      <c r="A126" s="269">
        <v>50401</v>
      </c>
      <c r="B126" s="269" t="s">
        <v>1099</v>
      </c>
      <c r="C126" s="269">
        <v>50</v>
      </c>
      <c r="D126" s="169" t="s">
        <v>51</v>
      </c>
    </row>
    <row r="127" spans="1:11" x14ac:dyDescent="0.3">
      <c r="A127" s="269">
        <v>50402</v>
      </c>
      <c r="B127" s="994" t="s">
        <v>1741</v>
      </c>
      <c r="C127" s="269">
        <v>50</v>
      </c>
      <c r="D127" s="169" t="s">
        <v>51</v>
      </c>
      <c r="K127" s="994"/>
    </row>
    <row r="128" spans="1:11" x14ac:dyDescent="0.3">
      <c r="A128" s="269">
        <v>50486</v>
      </c>
      <c r="B128" s="269" t="s">
        <v>1742</v>
      </c>
      <c r="C128" s="269">
        <v>50</v>
      </c>
      <c r="D128" s="169" t="s">
        <v>51</v>
      </c>
    </row>
    <row r="129" spans="1:11" x14ac:dyDescent="0.3">
      <c r="A129" s="269">
        <v>50409</v>
      </c>
      <c r="B129" s="269" t="s">
        <v>1743</v>
      </c>
      <c r="C129" s="269">
        <v>50</v>
      </c>
      <c r="D129" s="169" t="s">
        <v>51</v>
      </c>
    </row>
    <row r="130" spans="1:11" x14ac:dyDescent="0.3">
      <c r="A130" s="269">
        <v>50420</v>
      </c>
      <c r="B130" s="269" t="s">
        <v>1100</v>
      </c>
      <c r="C130" s="269">
        <v>50</v>
      </c>
      <c r="D130" s="169" t="s">
        <v>51</v>
      </c>
    </row>
    <row r="131" spans="1:11" x14ac:dyDescent="0.3">
      <c r="A131" s="269">
        <v>50421</v>
      </c>
      <c r="B131" s="994" t="s">
        <v>1744</v>
      </c>
      <c r="C131" s="269">
        <v>50</v>
      </c>
      <c r="D131" s="169" t="s">
        <v>51</v>
      </c>
      <c r="K131" s="994"/>
    </row>
    <row r="132" spans="1:11" x14ac:dyDescent="0.3">
      <c r="A132" s="269">
        <v>50423</v>
      </c>
      <c r="B132" s="269" t="s">
        <v>1101</v>
      </c>
      <c r="C132" s="269">
        <v>50</v>
      </c>
      <c r="D132" s="169" t="s">
        <v>51</v>
      </c>
    </row>
    <row r="133" spans="1:11" x14ac:dyDescent="0.3">
      <c r="A133" s="269">
        <v>50432</v>
      </c>
      <c r="B133" s="994" t="s">
        <v>1745</v>
      </c>
      <c r="C133" s="269">
        <v>50</v>
      </c>
      <c r="D133" s="169" t="s">
        <v>51</v>
      </c>
      <c r="K133" s="994"/>
    </row>
    <row r="134" spans="1:11" x14ac:dyDescent="0.3">
      <c r="A134" s="269">
        <v>50499</v>
      </c>
      <c r="B134" s="994" t="s">
        <v>1746</v>
      </c>
      <c r="C134" s="269">
        <v>50</v>
      </c>
      <c r="D134" s="169" t="s">
        <v>51</v>
      </c>
      <c r="K134" s="994"/>
    </row>
    <row r="135" spans="1:11" x14ac:dyDescent="0.3">
      <c r="A135" s="269">
        <v>5103</v>
      </c>
      <c r="B135" s="269" t="s">
        <v>1012</v>
      </c>
      <c r="C135" s="269">
        <v>51</v>
      </c>
      <c r="D135" s="169" t="s">
        <v>51</v>
      </c>
    </row>
    <row r="136" spans="1:11" x14ac:dyDescent="0.3">
      <c r="A136" s="269">
        <v>5107</v>
      </c>
      <c r="B136" s="269" t="s">
        <v>1018</v>
      </c>
      <c r="C136" s="269">
        <v>51</v>
      </c>
      <c r="D136" s="169" t="s">
        <v>51</v>
      </c>
    </row>
    <row r="137" spans="1:11" x14ac:dyDescent="0.3">
      <c r="A137" s="269">
        <v>5116</v>
      </c>
      <c r="B137" s="994" t="s">
        <v>1747</v>
      </c>
      <c r="C137" s="269">
        <v>51</v>
      </c>
      <c r="D137" s="169" t="s">
        <v>51</v>
      </c>
      <c r="K137" s="994"/>
    </row>
    <row r="138" spans="1:11" x14ac:dyDescent="0.3">
      <c r="A138" s="269">
        <v>5119</v>
      </c>
      <c r="B138" s="994" t="s">
        <v>1748</v>
      </c>
      <c r="C138" s="269">
        <v>51</v>
      </c>
      <c r="D138" s="169" t="s">
        <v>51</v>
      </c>
      <c r="K138" s="994"/>
    </row>
    <row r="139" spans="1:11" x14ac:dyDescent="0.3">
      <c r="A139" s="269">
        <v>5123</v>
      </c>
      <c r="B139" s="269" t="s">
        <v>1749</v>
      </c>
      <c r="C139" s="269">
        <v>51</v>
      </c>
      <c r="D139" s="169" t="s">
        <v>51</v>
      </c>
    </row>
    <row r="140" spans="1:11" x14ac:dyDescent="0.3">
      <c r="A140" s="269">
        <v>5129</v>
      </c>
      <c r="B140" s="994" t="s">
        <v>1750</v>
      </c>
      <c r="C140" s="269">
        <v>51</v>
      </c>
      <c r="D140" s="169" t="s">
        <v>51</v>
      </c>
      <c r="K140" s="994"/>
    </row>
    <row r="141" spans="1:11" x14ac:dyDescent="0.3">
      <c r="A141" s="269">
        <v>5132</v>
      </c>
      <c r="B141" s="269" t="s">
        <v>1035</v>
      </c>
      <c r="C141" s="269">
        <v>51</v>
      </c>
      <c r="D141" s="169" t="s">
        <v>51</v>
      </c>
    </row>
    <row r="142" spans="1:11" x14ac:dyDescent="0.3">
      <c r="A142" s="269">
        <v>5137</v>
      </c>
      <c r="B142" s="269" t="s">
        <v>1751</v>
      </c>
      <c r="C142" s="269">
        <v>51</v>
      </c>
      <c r="D142" s="169" t="s">
        <v>51</v>
      </c>
    </row>
    <row r="143" spans="1:11" x14ac:dyDescent="0.3">
      <c r="A143" s="269">
        <v>5147</v>
      </c>
      <c r="B143" s="269" t="s">
        <v>1058</v>
      </c>
      <c r="C143" s="269">
        <v>51</v>
      </c>
      <c r="D143" s="169" t="s">
        <v>51</v>
      </c>
    </row>
    <row r="144" spans="1:11" x14ac:dyDescent="0.3">
      <c r="A144" s="269">
        <v>5156</v>
      </c>
      <c r="B144" s="269" t="s">
        <v>1059</v>
      </c>
      <c r="C144" s="269">
        <v>51</v>
      </c>
      <c r="D144" s="169" t="s">
        <v>51</v>
      </c>
    </row>
    <row r="145" spans="1:11" x14ac:dyDescent="0.3">
      <c r="A145" s="269">
        <v>5157</v>
      </c>
      <c r="B145" s="269" t="s">
        <v>1752</v>
      </c>
      <c r="C145" s="269">
        <v>51</v>
      </c>
      <c r="D145" s="169" t="s">
        <v>51</v>
      </c>
    </row>
    <row r="146" spans="1:11" x14ac:dyDescent="0.3">
      <c r="A146" s="269">
        <v>5165</v>
      </c>
      <c r="B146" s="269" t="s">
        <v>1068</v>
      </c>
      <c r="C146" s="269">
        <v>51</v>
      </c>
      <c r="D146" s="169" t="s">
        <v>51</v>
      </c>
    </row>
    <row r="147" spans="1:11" x14ac:dyDescent="0.3">
      <c r="A147" s="269">
        <v>5167</v>
      </c>
      <c r="B147" s="269" t="s">
        <v>1071</v>
      </c>
      <c r="C147" s="269">
        <v>51</v>
      </c>
      <c r="D147" s="169" t="s">
        <v>51</v>
      </c>
    </row>
    <row r="148" spans="1:11" x14ac:dyDescent="0.3">
      <c r="A148" s="269">
        <v>5170</v>
      </c>
      <c r="B148" s="269" t="s">
        <v>1072</v>
      </c>
      <c r="C148" s="269">
        <v>51</v>
      </c>
      <c r="D148" s="169" t="s">
        <v>51</v>
      </c>
    </row>
    <row r="149" spans="1:11" x14ac:dyDescent="0.3">
      <c r="A149" s="269">
        <v>5172</v>
      </c>
      <c r="B149" s="269" t="s">
        <v>1753</v>
      </c>
      <c r="C149" s="269">
        <v>51</v>
      </c>
      <c r="D149" s="169" t="s">
        <v>51</v>
      </c>
    </row>
    <row r="150" spans="1:11" x14ac:dyDescent="0.3">
      <c r="A150" s="269">
        <v>5182</v>
      </c>
      <c r="B150" s="269" t="s">
        <v>1087</v>
      </c>
      <c r="C150" s="269">
        <v>51</v>
      </c>
      <c r="D150" s="169" t="s">
        <v>51</v>
      </c>
    </row>
    <row r="151" spans="1:11" x14ac:dyDescent="0.3">
      <c r="A151" s="269">
        <v>5188</v>
      </c>
      <c r="B151" s="269" t="s">
        <v>1097</v>
      </c>
      <c r="C151" s="269">
        <v>51</v>
      </c>
      <c r="D151" s="169" t="s">
        <v>51</v>
      </c>
    </row>
    <row r="152" spans="1:11" x14ac:dyDescent="0.3">
      <c r="A152" s="269">
        <v>591706</v>
      </c>
      <c r="B152" s="995" t="s">
        <v>1754</v>
      </c>
      <c r="C152" s="269">
        <v>59</v>
      </c>
      <c r="D152" s="169" t="s">
        <v>51</v>
      </c>
      <c r="K152" s="995"/>
    </row>
    <row r="153" spans="1:11" x14ac:dyDescent="0.3">
      <c r="A153" s="269">
        <v>591612</v>
      </c>
      <c r="B153" s="995" t="s">
        <v>1755</v>
      </c>
      <c r="C153" s="269">
        <v>59</v>
      </c>
      <c r="D153" s="169" t="s">
        <v>51</v>
      </c>
      <c r="K153" s="995"/>
    </row>
    <row r="154" spans="1:11" x14ac:dyDescent="0.3">
      <c r="A154" s="269">
        <v>591604</v>
      </c>
      <c r="B154" s="269" t="s">
        <v>1027</v>
      </c>
      <c r="C154" s="269">
        <v>59</v>
      </c>
      <c r="D154" s="169" t="s">
        <v>51</v>
      </c>
    </row>
    <row r="155" spans="1:11" x14ac:dyDescent="0.3">
      <c r="A155" s="269">
        <v>591632</v>
      </c>
      <c r="B155" s="994" t="s">
        <v>1039</v>
      </c>
      <c r="C155" s="269">
        <v>59</v>
      </c>
      <c r="D155" s="169" t="s">
        <v>51</v>
      </c>
      <c r="K155" s="994"/>
    </row>
    <row r="156" spans="1:11" x14ac:dyDescent="0.3">
      <c r="A156" s="269">
        <v>591607</v>
      </c>
      <c r="B156" s="269" t="s">
        <v>1044</v>
      </c>
      <c r="C156" s="269">
        <v>59</v>
      </c>
      <c r="D156" s="169" t="s">
        <v>51</v>
      </c>
    </row>
    <row r="157" spans="1:11" x14ac:dyDescent="0.3">
      <c r="A157" s="269">
        <v>591613</v>
      </c>
      <c r="B157" s="269" t="s">
        <v>1756</v>
      </c>
      <c r="C157" s="269">
        <v>59</v>
      </c>
      <c r="D157" s="169" t="s">
        <v>51</v>
      </c>
    </row>
    <row r="158" spans="1:11" x14ac:dyDescent="0.3">
      <c r="A158" s="269">
        <v>591616</v>
      </c>
      <c r="B158" s="994" t="s">
        <v>1757</v>
      </c>
      <c r="C158" s="269">
        <v>59</v>
      </c>
      <c r="D158" s="169" t="s">
        <v>51</v>
      </c>
      <c r="K158" s="994"/>
    </row>
    <row r="159" spans="1:11" x14ac:dyDescent="0.3">
      <c r="A159" s="269">
        <v>592368</v>
      </c>
      <c r="B159" s="269" t="s">
        <v>1093</v>
      </c>
      <c r="C159" s="269">
        <v>59</v>
      </c>
      <c r="D159" s="169" t="s">
        <v>51</v>
      </c>
    </row>
    <row r="160" spans="1:11" x14ac:dyDescent="0.3">
      <c r="A160" s="269">
        <v>591633</v>
      </c>
      <c r="B160" s="994" t="s">
        <v>1758</v>
      </c>
      <c r="C160" s="269">
        <v>59</v>
      </c>
      <c r="D160" s="169" t="s">
        <v>51</v>
      </c>
      <c r="K160" s="994"/>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Tax Reval Rate</vt:lpstr>
      <vt:lpstr>2020 Data(H)</vt:lpstr>
      <vt:lpstr>2019 Data(H)</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2021-07-30T20:14:09Z</cp:lastPrinted>
  <dcterms:created xsi:type="dcterms:W3CDTF">2011-03-11T21:05:05Z</dcterms:created>
  <dcterms:modified xsi:type="dcterms:W3CDTF">2022-09-19T17:18:45Z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